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df20f9da621dced/Documents/Club Info/"/>
    </mc:Choice>
  </mc:AlternateContent>
  <xr:revisionPtr revIDLastSave="0" documentId="8_{AA18BA44-788D-466E-8864-8D9ED0EAB2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ltire Fees 2025-26" sheetId="14" r:id="rId1"/>
    <sheet name="Saltire Fees 2024-25" sheetId="13" r:id="rId2"/>
    <sheet name="Saltire Fees 2023-24" sheetId="11" r:id="rId3"/>
    <sheet name="Saltire Fees 2022-23" sheetId="12" r:id="rId4"/>
    <sheet name="Saltire Fees 2020-21 ASN, P " sheetId="8" state="hidden" r:id="rId5"/>
    <sheet name="SaltireFees 2020-21 ASN 48 week" sheetId="10" state="hidden" r:id="rId6"/>
    <sheet name="Saltire Fees 2019-20" sheetId="4" state="hidden" r:id="rId7"/>
    <sheet name="Saltire Fees 2019-20 ASN, P " sheetId="7" state="hidden" r:id="rId8"/>
    <sheet name="Saltire Fees 2018-19" sheetId="3" state="hidden" r:id="rId9"/>
    <sheet name="Saltire Fees 2018-19 ASN, P " sheetId="6" state="hidden" r:id="rId10"/>
    <sheet name="Saltire Fees 2017-18 ASN, PS, A" sheetId="5" state="hidden" r:id="rId11"/>
    <sheet name="Saltire Fees 2017-18" sheetId="2" state="hidden" r:id="rId12"/>
    <sheet name="Saltire Fees 2016-17" sheetId="1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4" l="1"/>
  <c r="B36" i="14"/>
  <c r="B35" i="14"/>
  <c r="C35" i="14" s="1"/>
  <c r="I6" i="14"/>
  <c r="I3" i="14"/>
  <c r="I4" i="14"/>
  <c r="H11" i="14"/>
  <c r="H6" i="14"/>
  <c r="F6" i="14"/>
  <c r="F7" i="14"/>
  <c r="F3" i="14"/>
  <c r="D6" i="14"/>
  <c r="D7" i="14"/>
  <c r="D8" i="14"/>
  <c r="D9" i="14"/>
  <c r="D10" i="14"/>
  <c r="E10" i="14" s="1"/>
  <c r="D11" i="14"/>
  <c r="D12" i="14"/>
  <c r="D13" i="14"/>
  <c r="E13" i="14" s="1"/>
  <c r="D14" i="14"/>
  <c r="D15" i="14"/>
  <c r="D16" i="14"/>
  <c r="D17" i="14"/>
  <c r="D18" i="14"/>
  <c r="D19" i="14"/>
  <c r="D20" i="14"/>
  <c r="E20" i="14" s="1"/>
  <c r="D21" i="14"/>
  <c r="E21" i="14" s="1"/>
  <c r="D22" i="14"/>
  <c r="D23" i="14"/>
  <c r="D24" i="14"/>
  <c r="D25" i="14"/>
  <c r="D26" i="14"/>
  <c r="E26" i="14" s="1"/>
  <c r="D27" i="14"/>
  <c r="E27" i="14" s="1"/>
  <c r="D28" i="14"/>
  <c r="D29" i="14"/>
  <c r="E29" i="14" s="1"/>
  <c r="D30" i="14"/>
  <c r="D31" i="14"/>
  <c r="D32" i="14"/>
  <c r="D33" i="14"/>
  <c r="E33" i="14" s="1"/>
  <c r="D34" i="14"/>
  <c r="E34" i="14" s="1"/>
  <c r="D35" i="14"/>
  <c r="E35" i="14" s="1"/>
  <c r="D36" i="14"/>
  <c r="E36" i="14" s="1"/>
  <c r="D37" i="14"/>
  <c r="D38" i="14"/>
  <c r="D39" i="14"/>
  <c r="D40" i="14"/>
  <c r="D41" i="14"/>
  <c r="D42" i="14"/>
  <c r="E42" i="14" s="1"/>
  <c r="D43" i="14"/>
  <c r="D44" i="14"/>
  <c r="D45" i="14"/>
  <c r="E45" i="14" s="1"/>
  <c r="D46" i="14"/>
  <c r="D47" i="14"/>
  <c r="D48" i="14"/>
  <c r="D49" i="14"/>
  <c r="E49" i="14" s="1"/>
  <c r="B6" i="14"/>
  <c r="B7" i="14"/>
  <c r="B8" i="14"/>
  <c r="B9" i="14"/>
  <c r="B10" i="14"/>
  <c r="B11" i="14"/>
  <c r="C11" i="14" s="1"/>
  <c r="B12" i="14"/>
  <c r="C12" i="14" s="1"/>
  <c r="B13" i="14"/>
  <c r="B14" i="14"/>
  <c r="B15" i="14"/>
  <c r="B16" i="14"/>
  <c r="B17" i="14"/>
  <c r="B18" i="14"/>
  <c r="B19" i="14"/>
  <c r="C19" i="14" s="1"/>
  <c r="B20" i="14"/>
  <c r="C20" i="14" s="1"/>
  <c r="B21" i="14"/>
  <c r="B22" i="14"/>
  <c r="B23" i="14"/>
  <c r="B24" i="14"/>
  <c r="B25" i="14"/>
  <c r="B26" i="14"/>
  <c r="B27" i="14"/>
  <c r="C27" i="14" s="1"/>
  <c r="B28" i="14"/>
  <c r="C28" i="14" s="1"/>
  <c r="B29" i="14"/>
  <c r="B30" i="14"/>
  <c r="B31" i="14"/>
  <c r="B32" i="14"/>
  <c r="B33" i="14"/>
  <c r="B34" i="14"/>
  <c r="B37" i="14"/>
  <c r="B38" i="14"/>
  <c r="B39" i="14"/>
  <c r="B40" i="14"/>
  <c r="B41" i="14"/>
  <c r="B42" i="14"/>
  <c r="B43" i="14"/>
  <c r="C43" i="14" s="1"/>
  <c r="B44" i="14"/>
  <c r="C44" i="14" s="1"/>
  <c r="B45" i="14"/>
  <c r="B46" i="14"/>
  <c r="B47" i="14"/>
  <c r="B48" i="14"/>
  <c r="B49" i="14"/>
  <c r="I5" i="14"/>
  <c r="H5" i="14"/>
  <c r="F5" i="14"/>
  <c r="D5" i="14"/>
  <c r="B5" i="14"/>
  <c r="J5" i="14"/>
  <c r="G5" i="14"/>
  <c r="E5" i="14"/>
  <c r="C5" i="14"/>
  <c r="C49" i="14"/>
  <c r="E48" i="14"/>
  <c r="C48" i="14"/>
  <c r="E47" i="14"/>
  <c r="C47" i="14"/>
  <c r="E46" i="14"/>
  <c r="C46" i="14"/>
  <c r="C45" i="14"/>
  <c r="E44" i="14"/>
  <c r="E43" i="14"/>
  <c r="C42" i="14"/>
  <c r="E41" i="14"/>
  <c r="C41" i="14"/>
  <c r="E40" i="14"/>
  <c r="C40" i="14"/>
  <c r="E39" i="14"/>
  <c r="C39" i="14"/>
  <c r="E38" i="14"/>
  <c r="C38" i="14"/>
  <c r="E37" i="14"/>
  <c r="C37" i="14"/>
  <c r="C34" i="14"/>
  <c r="C33" i="14"/>
  <c r="E32" i="14"/>
  <c r="C32" i="14"/>
  <c r="E31" i="14"/>
  <c r="C31" i="14"/>
  <c r="E30" i="14"/>
  <c r="C30" i="14"/>
  <c r="C29" i="14"/>
  <c r="E28" i="14"/>
  <c r="C26" i="14"/>
  <c r="E25" i="14"/>
  <c r="C25" i="14"/>
  <c r="E24" i="14"/>
  <c r="C24" i="14"/>
  <c r="E23" i="14"/>
  <c r="C23" i="14"/>
  <c r="E22" i="14"/>
  <c r="C22" i="14"/>
  <c r="C21" i="14"/>
  <c r="E19" i="14"/>
  <c r="E18" i="14"/>
  <c r="C18" i="14"/>
  <c r="E17" i="14"/>
  <c r="C17" i="14"/>
  <c r="E16" i="14"/>
  <c r="C16" i="14"/>
  <c r="E15" i="14"/>
  <c r="C15" i="14"/>
  <c r="E14" i="14"/>
  <c r="C14" i="14"/>
  <c r="C13" i="14"/>
  <c r="E12" i="14"/>
  <c r="E11" i="14"/>
  <c r="C10" i="14"/>
  <c r="E9" i="14"/>
  <c r="C9" i="14"/>
  <c r="E8" i="14"/>
  <c r="C8" i="14"/>
  <c r="G7" i="14"/>
  <c r="E7" i="14"/>
  <c r="C7" i="14"/>
  <c r="J6" i="14"/>
  <c r="G6" i="14"/>
  <c r="E6" i="14"/>
  <c r="C6" i="14"/>
  <c r="J4" i="14"/>
  <c r="J3" i="14"/>
  <c r="G3" i="14"/>
  <c r="E17" i="13" l="1"/>
  <c r="D17" i="13"/>
  <c r="C17" i="13"/>
  <c r="B17" i="13"/>
  <c r="D43" i="13"/>
  <c r="E43" i="13" s="1"/>
  <c r="D44" i="13"/>
  <c r="E44" i="13" s="1"/>
  <c r="D45" i="13"/>
  <c r="E45" i="13" s="1"/>
  <c r="C43" i="13"/>
  <c r="C44" i="13"/>
  <c r="B43" i="13"/>
  <c r="B44" i="13"/>
  <c r="B45" i="13"/>
  <c r="C45" i="13" s="1"/>
  <c r="D8" i="13"/>
  <c r="E8" i="13" s="1"/>
  <c r="D9" i="13"/>
  <c r="E9" i="13"/>
  <c r="D10" i="13"/>
  <c r="E10" i="13" s="1"/>
  <c r="D11" i="13"/>
  <c r="E11" i="13" s="1"/>
  <c r="D12" i="13"/>
  <c r="E12" i="13" s="1"/>
  <c r="D13" i="13"/>
  <c r="E13" i="13" s="1"/>
  <c r="D14" i="13"/>
  <c r="E14" i="13" s="1"/>
  <c r="D15" i="13"/>
  <c r="E15" i="13" s="1"/>
  <c r="D16" i="13"/>
  <c r="E16" i="13" s="1"/>
  <c r="D18" i="13"/>
  <c r="E18" i="13" s="1"/>
  <c r="D19" i="13"/>
  <c r="E19" i="13" s="1"/>
  <c r="D20" i="13"/>
  <c r="E20" i="13" s="1"/>
  <c r="D21" i="13"/>
  <c r="E21" i="13" s="1"/>
  <c r="D22" i="13"/>
  <c r="E22" i="13" s="1"/>
  <c r="D23" i="13"/>
  <c r="E23" i="13" s="1"/>
  <c r="D24" i="13"/>
  <c r="E24" i="13" s="1"/>
  <c r="D25" i="13"/>
  <c r="E25" i="13" s="1"/>
  <c r="D26" i="13"/>
  <c r="E26" i="13" s="1"/>
  <c r="B26" i="13"/>
  <c r="C26" i="13" s="1"/>
  <c r="B22" i="13"/>
  <c r="C22" i="13" s="1"/>
  <c r="B19" i="13"/>
  <c r="C19" i="13" s="1"/>
  <c r="B15" i="13"/>
  <c r="C15" i="13" s="1"/>
  <c r="B12" i="13"/>
  <c r="C12" i="13" s="1"/>
  <c r="B8" i="13"/>
  <c r="C8" i="13" s="1"/>
  <c r="B9" i="13"/>
  <c r="C9" i="13" s="1"/>
  <c r="E10" i="11"/>
  <c r="D28" i="13"/>
  <c r="E28" i="13" s="1"/>
  <c r="D29" i="13"/>
  <c r="E29" i="13" s="1"/>
  <c r="D30" i="13"/>
  <c r="E30" i="13" s="1"/>
  <c r="D31" i="13"/>
  <c r="E31" i="13" s="1"/>
  <c r="D32" i="13"/>
  <c r="E32" i="13" s="1"/>
  <c r="D33" i="13"/>
  <c r="E33" i="13" s="1"/>
  <c r="D34" i="13"/>
  <c r="E34" i="13" s="1"/>
  <c r="B28" i="13"/>
  <c r="C28" i="13" s="1"/>
  <c r="B29" i="13"/>
  <c r="C29" i="13" s="1"/>
  <c r="B30" i="13"/>
  <c r="C30" i="13" s="1"/>
  <c r="B31" i="13"/>
  <c r="C31" i="13" s="1"/>
  <c r="B32" i="13"/>
  <c r="C32" i="13" s="1"/>
  <c r="B33" i="13"/>
  <c r="C33" i="13" s="1"/>
  <c r="B34" i="13"/>
  <c r="C34" i="13" s="1"/>
  <c r="D27" i="13"/>
  <c r="E27" i="13" s="1"/>
  <c r="D35" i="13"/>
  <c r="E35" i="13" s="1"/>
  <c r="D36" i="13"/>
  <c r="E36" i="13" s="1"/>
  <c r="D37" i="13"/>
  <c r="E37" i="13" s="1"/>
  <c r="D38" i="13"/>
  <c r="E38" i="13" s="1"/>
  <c r="D39" i="13"/>
  <c r="E39" i="13" s="1"/>
  <c r="D40" i="13"/>
  <c r="E40" i="13" s="1"/>
  <c r="D41" i="13"/>
  <c r="E41" i="13" s="1"/>
  <c r="D42" i="13"/>
  <c r="E42" i="13" s="1"/>
  <c r="D46" i="13"/>
  <c r="E46" i="13" s="1"/>
  <c r="D47" i="13"/>
  <c r="E47" i="13" s="1"/>
  <c r="D48" i="13"/>
  <c r="E48" i="13" s="1"/>
  <c r="D49" i="13"/>
  <c r="E49" i="13" s="1"/>
  <c r="B10" i="13"/>
  <c r="C10" i="13" s="1"/>
  <c r="B11" i="13"/>
  <c r="C11" i="13" s="1"/>
  <c r="B13" i="13"/>
  <c r="C13" i="13" s="1"/>
  <c r="B14" i="13"/>
  <c r="C14" i="13" s="1"/>
  <c r="B16" i="13"/>
  <c r="C16" i="13" s="1"/>
  <c r="B18" i="13"/>
  <c r="C18" i="13" s="1"/>
  <c r="B20" i="13"/>
  <c r="C20" i="13" s="1"/>
  <c r="B21" i="13"/>
  <c r="C21" i="13" s="1"/>
  <c r="B23" i="13"/>
  <c r="C23" i="13" s="1"/>
  <c r="B24" i="13"/>
  <c r="C24" i="13" s="1"/>
  <c r="B25" i="13"/>
  <c r="C25" i="13" s="1"/>
  <c r="B27" i="13"/>
  <c r="C27" i="13" s="1"/>
  <c r="B35" i="13"/>
  <c r="C35" i="13" s="1"/>
  <c r="B36" i="13"/>
  <c r="C36" i="13" s="1"/>
  <c r="B37" i="13"/>
  <c r="C37" i="13" s="1"/>
  <c r="B38" i="13"/>
  <c r="C38" i="13" s="1"/>
  <c r="B39" i="13"/>
  <c r="C39" i="13" s="1"/>
  <c r="B40" i="13"/>
  <c r="C40" i="13" s="1"/>
  <c r="B41" i="13"/>
  <c r="C41" i="13" s="1"/>
  <c r="B42" i="13"/>
  <c r="C42" i="13" s="1"/>
  <c r="B46" i="13"/>
  <c r="C46" i="13" s="1"/>
  <c r="B47" i="13"/>
  <c r="C47" i="13" s="1"/>
  <c r="B48" i="13"/>
  <c r="C48" i="13" s="1"/>
  <c r="B49" i="13"/>
  <c r="C49" i="13" s="1"/>
  <c r="I4" i="13"/>
  <c r="J4" i="13" s="1"/>
  <c r="I5" i="13"/>
  <c r="J5" i="13" s="1"/>
  <c r="I6" i="13"/>
  <c r="J6" i="13" s="1"/>
  <c r="I3" i="13"/>
  <c r="J3" i="13" s="1"/>
  <c r="F5" i="13"/>
  <c r="G5" i="13" s="1"/>
  <c r="F6" i="13"/>
  <c r="G6" i="13" s="1"/>
  <c r="F7" i="13"/>
  <c r="G7" i="13" s="1"/>
  <c r="F3" i="13"/>
  <c r="G3" i="13" s="1"/>
  <c r="D7" i="13"/>
  <c r="E7" i="13" s="1"/>
  <c r="D6" i="13"/>
  <c r="E6" i="13" s="1"/>
  <c r="D5" i="13"/>
  <c r="E5" i="13" s="1"/>
  <c r="B6" i="13"/>
  <c r="C6" i="13" s="1"/>
  <c r="B7" i="13"/>
  <c r="C7" i="13" s="1"/>
  <c r="B5" i="13"/>
  <c r="C5" i="13" s="1"/>
  <c r="J3" i="12"/>
  <c r="C29" i="12"/>
  <c r="D29" i="12" s="1"/>
  <c r="C28" i="12"/>
  <c r="D28" i="12" s="1"/>
  <c r="C27" i="12"/>
  <c r="D27" i="12" s="1"/>
  <c r="C26" i="12"/>
  <c r="D26" i="12" s="1"/>
  <c r="C25" i="12"/>
  <c r="D25" i="12" s="1"/>
  <c r="C24" i="12"/>
  <c r="D24" i="12" s="1"/>
  <c r="C23" i="12"/>
  <c r="D23" i="12" s="1"/>
  <c r="C22" i="12"/>
  <c r="D22" i="12" s="1"/>
  <c r="C21" i="12"/>
  <c r="D21" i="12" s="1"/>
  <c r="C20" i="12"/>
  <c r="D20" i="12" s="1"/>
  <c r="C19" i="12"/>
  <c r="D19" i="12" s="1"/>
  <c r="C18" i="12"/>
  <c r="D18" i="12" s="1"/>
  <c r="C17" i="12"/>
  <c r="D17" i="12" s="1"/>
  <c r="C16" i="12"/>
  <c r="D16" i="12" s="1"/>
  <c r="C15" i="12"/>
  <c r="D15" i="12" s="1"/>
  <c r="C14" i="12"/>
  <c r="D14" i="12" s="1"/>
  <c r="C13" i="12"/>
  <c r="D13" i="12" s="1"/>
  <c r="C12" i="12"/>
  <c r="D12" i="12" s="1"/>
  <c r="C11" i="12"/>
  <c r="D11" i="12" s="1"/>
  <c r="C10" i="12"/>
  <c r="D10" i="12" s="1"/>
  <c r="C9" i="12"/>
  <c r="D9" i="12" s="1"/>
  <c r="C8" i="12"/>
  <c r="D8" i="12" s="1"/>
  <c r="C7" i="12"/>
  <c r="D7" i="12" s="1"/>
  <c r="C6" i="12"/>
  <c r="D6" i="12" s="1"/>
  <c r="C5" i="12"/>
  <c r="D5" i="12" s="1"/>
  <c r="C4" i="12"/>
  <c r="D4" i="12" s="1"/>
  <c r="C3" i="12"/>
  <c r="D3" i="12" s="1"/>
  <c r="F23" i="12" l="1"/>
  <c r="H23" i="12"/>
  <c r="H24" i="12"/>
  <c r="F24" i="12"/>
  <c r="H17" i="12"/>
  <c r="F17" i="12"/>
  <c r="H3" i="12"/>
  <c r="F3" i="12"/>
  <c r="H4" i="12"/>
  <c r="F4" i="12"/>
  <c r="H11" i="12"/>
  <c r="F11" i="12"/>
  <c r="F18" i="12"/>
  <c r="H18" i="12"/>
  <c r="F25" i="12"/>
  <c r="H25" i="12"/>
  <c r="F26" i="12"/>
  <c r="H26" i="12"/>
  <c r="F10" i="12"/>
  <c r="H10" i="12"/>
  <c r="H6" i="12"/>
  <c r="F6" i="12"/>
  <c r="H13" i="12"/>
  <c r="F13" i="12"/>
  <c r="H20" i="12"/>
  <c r="F20" i="12"/>
  <c r="F27" i="12"/>
  <c r="H27" i="12"/>
  <c r="H16" i="12"/>
  <c r="F16" i="12"/>
  <c r="H5" i="12"/>
  <c r="F5" i="12"/>
  <c r="H19" i="12"/>
  <c r="F19" i="12"/>
  <c r="H7" i="12"/>
  <c r="F7" i="12"/>
  <c r="H14" i="12"/>
  <c r="F14" i="12"/>
  <c r="H21" i="12"/>
  <c r="F21" i="12"/>
  <c r="H28" i="12"/>
  <c r="F28" i="12"/>
  <c r="F9" i="12"/>
  <c r="H9" i="12"/>
  <c r="H12" i="12"/>
  <c r="F12" i="12"/>
  <c r="H8" i="12"/>
  <c r="F8" i="12"/>
  <c r="H15" i="12"/>
  <c r="F15" i="12"/>
  <c r="H22" i="12"/>
  <c r="F22" i="12"/>
  <c r="H29" i="12"/>
  <c r="F29" i="12"/>
  <c r="J14" i="11" l="1"/>
  <c r="J16" i="11" s="1"/>
  <c r="D9" i="10"/>
  <c r="D7" i="10"/>
  <c r="K7" i="10"/>
  <c r="K6" i="10"/>
  <c r="B10" i="10"/>
  <c r="C10" i="10" s="1"/>
  <c r="B9" i="10"/>
  <c r="C9" i="10" s="1"/>
  <c r="B8" i="10"/>
  <c r="C8" i="10" s="1"/>
  <c r="I7" i="10"/>
  <c r="J7" i="10" s="1"/>
  <c r="B7" i="10"/>
  <c r="C7" i="10" s="1"/>
  <c r="I6" i="10"/>
  <c r="J6" i="10" s="1"/>
  <c r="C6" i="10"/>
  <c r="D6" i="10" s="1"/>
  <c r="B6" i="10"/>
  <c r="F7" i="8"/>
  <c r="C7" i="8"/>
  <c r="D7" i="8" s="1"/>
  <c r="M7" i="10" l="1"/>
  <c r="M6" i="10"/>
  <c r="F7" i="10"/>
  <c r="D8" i="10"/>
  <c r="F8" i="10" s="1"/>
  <c r="D10" i="10"/>
  <c r="F10" i="10" s="1"/>
  <c r="F9" i="10"/>
  <c r="F6" i="10"/>
  <c r="D17" i="8"/>
  <c r="D6" i="8"/>
  <c r="M8" i="8" l="1"/>
  <c r="I15" i="8"/>
  <c r="J15" i="8" s="1"/>
  <c r="K15" i="8" s="1"/>
  <c r="M15" i="8" s="1"/>
  <c r="I14" i="8"/>
  <c r="B16" i="8"/>
  <c r="B17" i="8"/>
  <c r="B18" i="8"/>
  <c r="B15" i="8"/>
  <c r="C15" i="8" s="1"/>
  <c r="D15" i="8" s="1"/>
  <c r="F15" i="8" s="1"/>
  <c r="B14" i="8"/>
  <c r="B6" i="8"/>
  <c r="C6" i="8" s="1"/>
  <c r="F6" i="8" s="1"/>
  <c r="C18" i="8"/>
  <c r="D18" i="8" s="1"/>
  <c r="F18" i="8" s="1"/>
  <c r="C17" i="8"/>
  <c r="F17" i="8" s="1"/>
  <c r="C16" i="8"/>
  <c r="D16" i="8" s="1"/>
  <c r="F16" i="8" s="1"/>
  <c r="J14" i="8"/>
  <c r="K14" i="8" s="1"/>
  <c r="M14" i="8" s="1"/>
  <c r="C14" i="8"/>
  <c r="D14" i="8" s="1"/>
  <c r="F14" i="8" s="1"/>
  <c r="M7" i="8"/>
  <c r="M6" i="8"/>
  <c r="B26" i="4" l="1"/>
  <c r="C26" i="4" s="1"/>
  <c r="D26" i="4" s="1"/>
  <c r="H26" i="4" l="1"/>
  <c r="F26" i="4"/>
  <c r="I15" i="7"/>
  <c r="J15" i="7" s="1"/>
  <c r="K15" i="7" s="1"/>
  <c r="M15" i="7" s="1"/>
  <c r="I14" i="7"/>
  <c r="J14" i="7" s="1"/>
  <c r="K14" i="7" s="1"/>
  <c r="M14" i="7" s="1"/>
  <c r="I7" i="7"/>
  <c r="J7" i="7" s="1"/>
  <c r="I6" i="7"/>
  <c r="J6" i="7" s="1"/>
  <c r="K6" i="7" s="1"/>
  <c r="M6" i="7" s="1"/>
  <c r="K7" i="7" l="1"/>
  <c r="M7" i="7" s="1"/>
  <c r="J15" i="6"/>
  <c r="K15" i="6" s="1"/>
  <c r="M15" i="6" s="1"/>
  <c r="J14" i="6"/>
  <c r="K14" i="6" s="1"/>
  <c r="M14" i="6" s="1"/>
  <c r="C26" i="3" l="1"/>
  <c r="D26" i="3" s="1"/>
  <c r="H26" i="3" l="1"/>
  <c r="F26" i="3"/>
  <c r="B28" i="3"/>
  <c r="B29" i="3"/>
  <c r="C29" i="3" l="1"/>
  <c r="D29" i="3" s="1"/>
  <c r="B29" i="4"/>
  <c r="C29" i="4" s="1"/>
  <c r="D29" i="4" s="1"/>
  <c r="C28" i="3"/>
  <c r="D28" i="3" s="1"/>
  <c r="H28" i="3" s="1"/>
  <c r="B28" i="4"/>
  <c r="C28" i="4" s="1"/>
  <c r="D28" i="4" s="1"/>
  <c r="F29" i="3"/>
  <c r="H29" i="3"/>
  <c r="F28" i="3"/>
  <c r="B27" i="3"/>
  <c r="L12" i="1"/>
  <c r="F28" i="4" l="1"/>
  <c r="H28" i="4"/>
  <c r="H29" i="4"/>
  <c r="F29" i="4"/>
  <c r="C27" i="3"/>
  <c r="D27" i="3" s="1"/>
  <c r="B27" i="4"/>
  <c r="C27" i="4" s="1"/>
  <c r="D27" i="4" s="1"/>
  <c r="F27" i="3"/>
  <c r="H27" i="3"/>
  <c r="I7" i="6"/>
  <c r="J7" i="6" s="1"/>
  <c r="K7" i="6" s="1"/>
  <c r="M7" i="6" s="1"/>
  <c r="I6" i="6"/>
  <c r="J6" i="6" s="1"/>
  <c r="K6" i="6" s="1"/>
  <c r="M6" i="6" s="1"/>
  <c r="B18" i="6"/>
  <c r="B17" i="6"/>
  <c r="B17" i="7" s="1"/>
  <c r="C17" i="7" s="1"/>
  <c r="D17" i="7" s="1"/>
  <c r="F17" i="7" s="1"/>
  <c r="B16" i="6"/>
  <c r="B15" i="6"/>
  <c r="B14" i="6"/>
  <c r="B6" i="6"/>
  <c r="B6" i="7" s="1"/>
  <c r="C6" i="7" s="1"/>
  <c r="D6" i="7" s="1"/>
  <c r="F6" i="7" s="1"/>
  <c r="C14" i="6" l="1"/>
  <c r="D14" i="6" s="1"/>
  <c r="F14" i="6" s="1"/>
  <c r="B14" i="7"/>
  <c r="C14" i="7" s="1"/>
  <c r="D14" i="7" s="1"/>
  <c r="F14" i="7" s="1"/>
  <c r="C18" i="6"/>
  <c r="D18" i="6" s="1"/>
  <c r="F18" i="6" s="1"/>
  <c r="B18" i="7"/>
  <c r="C18" i="7" s="1"/>
  <c r="D18" i="7" s="1"/>
  <c r="F18" i="7" s="1"/>
  <c r="C15" i="6"/>
  <c r="D15" i="6" s="1"/>
  <c r="F15" i="6" s="1"/>
  <c r="B15" i="7"/>
  <c r="C15" i="7" s="1"/>
  <c r="D15" i="7" s="1"/>
  <c r="F15" i="7" s="1"/>
  <c r="H27" i="4"/>
  <c r="F27" i="4"/>
  <c r="C6" i="6"/>
  <c r="D6" i="6" s="1"/>
  <c r="F6" i="6" s="1"/>
  <c r="C17" i="6"/>
  <c r="D17" i="6" s="1"/>
  <c r="F17" i="6" s="1"/>
  <c r="C16" i="6"/>
  <c r="D16" i="6" s="1"/>
  <c r="F16" i="6" s="1"/>
  <c r="B16" i="7"/>
  <c r="C16" i="7" s="1"/>
  <c r="D16" i="7" s="1"/>
  <c r="F16" i="7" s="1"/>
  <c r="J6" i="5"/>
  <c r="K6" i="5" s="1"/>
  <c r="M6" i="5" s="1"/>
  <c r="J7" i="5"/>
  <c r="K7" i="5" s="1"/>
  <c r="M7" i="5" s="1"/>
  <c r="C17" i="5"/>
  <c r="D17" i="5" s="1"/>
  <c r="C16" i="5"/>
  <c r="C15" i="5"/>
  <c r="D15" i="5" s="1"/>
  <c r="C14" i="5"/>
  <c r="C13" i="5"/>
  <c r="D13" i="5" s="1"/>
  <c r="F15" i="5" l="1"/>
  <c r="D14" i="5"/>
  <c r="F14" i="5" s="1"/>
  <c r="D16" i="5"/>
  <c r="F16" i="5" s="1"/>
  <c r="F17" i="5"/>
  <c r="F13" i="5"/>
  <c r="C6" i="5"/>
  <c r="D6" i="5" s="1"/>
  <c r="F6" i="5" s="1"/>
  <c r="C26" i="2" l="1"/>
  <c r="D26" i="2"/>
  <c r="F26" i="2" s="1"/>
  <c r="C27" i="2"/>
  <c r="D27" i="2" s="1"/>
  <c r="C28" i="2"/>
  <c r="D28" i="2"/>
  <c r="F28" i="2" s="1"/>
  <c r="B25" i="2"/>
  <c r="B25" i="3" s="1"/>
  <c r="C25" i="2"/>
  <c r="D25" i="2" s="1"/>
  <c r="C27" i="1"/>
  <c r="D27" i="1" s="1"/>
  <c r="F27" i="1" s="1"/>
  <c r="C26" i="1"/>
  <c r="D26" i="1" s="1"/>
  <c r="H26" i="1" s="1"/>
  <c r="C25" i="1"/>
  <c r="D25" i="1" s="1"/>
  <c r="B4" i="2"/>
  <c r="B4" i="3" s="1"/>
  <c r="B5" i="2"/>
  <c r="B5" i="3" s="1"/>
  <c r="C5" i="3" s="1"/>
  <c r="D5" i="3" s="1"/>
  <c r="F5" i="3" s="1"/>
  <c r="B6" i="2"/>
  <c r="C6" i="2" s="1"/>
  <c r="D6" i="2" s="1"/>
  <c r="B7" i="2"/>
  <c r="B7" i="3" s="1"/>
  <c r="B8" i="2"/>
  <c r="B8" i="3" s="1"/>
  <c r="B9" i="2"/>
  <c r="B9" i="3" s="1"/>
  <c r="B9" i="4" s="1"/>
  <c r="C9" i="4" s="1"/>
  <c r="D9" i="4" s="1"/>
  <c r="B10" i="2"/>
  <c r="C10" i="2" s="1"/>
  <c r="D10" i="2" s="1"/>
  <c r="F10" i="2" s="1"/>
  <c r="B11" i="2"/>
  <c r="B11" i="3" s="1"/>
  <c r="B12" i="2"/>
  <c r="B13" i="2"/>
  <c r="B13" i="3" s="1"/>
  <c r="B13" i="4" s="1"/>
  <c r="C13" i="4" s="1"/>
  <c r="D13" i="4" s="1"/>
  <c r="B14" i="2"/>
  <c r="B15" i="2"/>
  <c r="B15" i="3" s="1"/>
  <c r="B16" i="2"/>
  <c r="B16" i="3" s="1"/>
  <c r="C16" i="3" s="1"/>
  <c r="D16" i="3" s="1"/>
  <c r="B17" i="2"/>
  <c r="B17" i="3" s="1"/>
  <c r="B18" i="2"/>
  <c r="C18" i="2" s="1"/>
  <c r="D18" i="2" s="1"/>
  <c r="B19" i="2"/>
  <c r="B19" i="3" s="1"/>
  <c r="B19" i="4" s="1"/>
  <c r="C19" i="4" s="1"/>
  <c r="D19" i="4" s="1"/>
  <c r="B20" i="2"/>
  <c r="B20" i="3" s="1"/>
  <c r="C20" i="3" s="1"/>
  <c r="D20" i="3" s="1"/>
  <c r="F20" i="3" s="1"/>
  <c r="B21" i="2"/>
  <c r="B22" i="2"/>
  <c r="C22" i="2"/>
  <c r="D22" i="2" s="1"/>
  <c r="B23" i="2"/>
  <c r="B23" i="3" s="1"/>
  <c r="B24" i="2"/>
  <c r="B24" i="3" s="1"/>
  <c r="B3" i="2"/>
  <c r="C3" i="2" s="1"/>
  <c r="D3" i="2" s="1"/>
  <c r="F3" i="2" s="1"/>
  <c r="C23" i="2"/>
  <c r="D23" i="2" s="1"/>
  <c r="H23" i="2" s="1"/>
  <c r="C15" i="2"/>
  <c r="D15" i="2" s="1"/>
  <c r="H15" i="2" s="1"/>
  <c r="C9" i="2"/>
  <c r="D9" i="2" s="1"/>
  <c r="C8" i="2"/>
  <c r="D8" i="2" s="1"/>
  <c r="F8" i="2" s="1"/>
  <c r="C4" i="2"/>
  <c r="D4" i="2" s="1"/>
  <c r="H4" i="2" s="1"/>
  <c r="C24" i="1"/>
  <c r="D24" i="1" s="1"/>
  <c r="C23" i="1"/>
  <c r="D23" i="1" s="1"/>
  <c r="H23" i="1" s="1"/>
  <c r="C22" i="1"/>
  <c r="D22" i="1"/>
  <c r="F22" i="1" s="1"/>
  <c r="C21" i="1"/>
  <c r="D21" i="1" s="1"/>
  <c r="H21" i="1" s="1"/>
  <c r="C20" i="1"/>
  <c r="D20" i="1" s="1"/>
  <c r="F20" i="1" s="1"/>
  <c r="C19" i="1"/>
  <c r="D19" i="1" s="1"/>
  <c r="F19" i="1" s="1"/>
  <c r="C18" i="1"/>
  <c r="D18" i="1"/>
  <c r="H18" i="1" s="1"/>
  <c r="C17" i="1"/>
  <c r="D17" i="1" s="1"/>
  <c r="F17" i="1" s="1"/>
  <c r="C16" i="1"/>
  <c r="D16" i="1" s="1"/>
  <c r="C15" i="1"/>
  <c r="D15" i="1" s="1"/>
  <c r="H15" i="1" s="1"/>
  <c r="C14" i="1"/>
  <c r="D14" i="1"/>
  <c r="H14" i="1" s="1"/>
  <c r="C13" i="1"/>
  <c r="D13" i="1" s="1"/>
  <c r="H13" i="1" s="1"/>
  <c r="C12" i="1"/>
  <c r="D12" i="1" s="1"/>
  <c r="C11" i="1"/>
  <c r="D11" i="1" s="1"/>
  <c r="F11" i="1" s="1"/>
  <c r="C10" i="1"/>
  <c r="D10" i="1" s="1"/>
  <c r="C9" i="1"/>
  <c r="D9" i="1" s="1"/>
  <c r="F9" i="1" s="1"/>
  <c r="C8" i="1"/>
  <c r="D8" i="1" s="1"/>
  <c r="C7" i="1"/>
  <c r="D7" i="1" s="1"/>
  <c r="F7" i="1" s="1"/>
  <c r="C6" i="1"/>
  <c r="D6" i="1"/>
  <c r="F6" i="1" s="1"/>
  <c r="C5" i="1"/>
  <c r="D5" i="1" s="1"/>
  <c r="F5" i="1" s="1"/>
  <c r="C4" i="1"/>
  <c r="D4" i="1" s="1"/>
  <c r="C3" i="1"/>
  <c r="D3" i="1" s="1"/>
  <c r="F3" i="1" s="1"/>
  <c r="C17" i="2"/>
  <c r="D17" i="2" s="1"/>
  <c r="B3" i="3"/>
  <c r="C3" i="3" s="1"/>
  <c r="D3" i="3" s="1"/>
  <c r="B22" i="3"/>
  <c r="C22" i="3" s="1"/>
  <c r="D22" i="3" s="1"/>
  <c r="B18" i="3"/>
  <c r="B18" i="4" s="1"/>
  <c r="C18" i="4" s="1"/>
  <c r="D18" i="4" s="1"/>
  <c r="B10" i="3"/>
  <c r="B10" i="4" s="1"/>
  <c r="C10" i="4" s="1"/>
  <c r="D10" i="4" s="1"/>
  <c r="F4" i="2"/>
  <c r="F15" i="2"/>
  <c r="H11" i="1"/>
  <c r="F15" i="1"/>
  <c r="F18" i="1"/>
  <c r="H22" i="1"/>
  <c r="H5" i="1"/>
  <c r="H9" i="1"/>
  <c r="F13" i="1"/>
  <c r="F21" i="1"/>
  <c r="B3" i="4"/>
  <c r="C3" i="4" s="1"/>
  <c r="D3" i="4" s="1"/>
  <c r="F27" i="2" l="1"/>
  <c r="H27" i="2"/>
  <c r="H10" i="1"/>
  <c r="F10" i="1"/>
  <c r="C23" i="3"/>
  <c r="D23" i="3" s="1"/>
  <c r="B23" i="4"/>
  <c r="C23" i="4" s="1"/>
  <c r="D23" i="4" s="1"/>
  <c r="F23" i="4" s="1"/>
  <c r="B6" i="3"/>
  <c r="B6" i="4" s="1"/>
  <c r="C6" i="4" s="1"/>
  <c r="D6" i="4" s="1"/>
  <c r="H26" i="2"/>
  <c r="F14" i="1"/>
  <c r="H7" i="1"/>
  <c r="C13" i="2"/>
  <c r="D13" i="2" s="1"/>
  <c r="H13" i="2" s="1"/>
  <c r="C16" i="2"/>
  <c r="D16" i="2" s="1"/>
  <c r="F16" i="2" s="1"/>
  <c r="F23" i="1"/>
  <c r="C25" i="3"/>
  <c r="D25" i="3" s="1"/>
  <c r="H25" i="3" s="1"/>
  <c r="B25" i="4"/>
  <c r="C25" i="4" s="1"/>
  <c r="D25" i="4" s="1"/>
  <c r="H9" i="2"/>
  <c r="F9" i="2"/>
  <c r="H24" i="1"/>
  <c r="F24" i="1"/>
  <c r="B15" i="4"/>
  <c r="C15" i="4" s="1"/>
  <c r="D15" i="4" s="1"/>
  <c r="H15" i="4" s="1"/>
  <c r="C15" i="3"/>
  <c r="D15" i="3" s="1"/>
  <c r="H4" i="1"/>
  <c r="F4" i="1"/>
  <c r="F12" i="1"/>
  <c r="H12" i="1"/>
  <c r="H18" i="2"/>
  <c r="F18" i="2"/>
  <c r="C7" i="3"/>
  <c r="D7" i="3" s="1"/>
  <c r="F7" i="3" s="1"/>
  <c r="B7" i="4"/>
  <c r="C7" i="4" s="1"/>
  <c r="D7" i="4" s="1"/>
  <c r="H7" i="4" s="1"/>
  <c r="B4" i="4"/>
  <c r="C4" i="4" s="1"/>
  <c r="D4" i="4" s="1"/>
  <c r="F4" i="4" s="1"/>
  <c r="C4" i="3"/>
  <c r="D4" i="3" s="1"/>
  <c r="F4" i="3" s="1"/>
  <c r="H25" i="2"/>
  <c r="F25" i="2"/>
  <c r="F8" i="1"/>
  <c r="H8" i="1"/>
  <c r="H16" i="1"/>
  <c r="F16" i="1"/>
  <c r="H6" i="2"/>
  <c r="F6" i="2"/>
  <c r="H3" i="1"/>
  <c r="C6" i="3"/>
  <c r="D6" i="3" s="1"/>
  <c r="H6" i="3" s="1"/>
  <c r="C7" i="2"/>
  <c r="D7" i="2" s="1"/>
  <c r="C11" i="2"/>
  <c r="D11" i="2" s="1"/>
  <c r="C20" i="2"/>
  <c r="D20" i="2" s="1"/>
  <c r="F20" i="2" s="1"/>
  <c r="H28" i="2"/>
  <c r="F25" i="3"/>
  <c r="B22" i="4"/>
  <c r="C22" i="4" s="1"/>
  <c r="D22" i="4" s="1"/>
  <c r="F22" i="4" s="1"/>
  <c r="C18" i="3"/>
  <c r="D18" i="3" s="1"/>
  <c r="H18" i="3" s="1"/>
  <c r="H20" i="3"/>
  <c r="H7" i="3"/>
  <c r="H3" i="4"/>
  <c r="F3" i="4"/>
  <c r="B20" i="4"/>
  <c r="C20" i="4" s="1"/>
  <c r="D20" i="4" s="1"/>
  <c r="H20" i="4" s="1"/>
  <c r="H23" i="4"/>
  <c r="C19" i="3"/>
  <c r="D19" i="3" s="1"/>
  <c r="H18" i="4"/>
  <c r="F18" i="4"/>
  <c r="H9" i="4"/>
  <c r="F9" i="4"/>
  <c r="H23" i="3"/>
  <c r="F23" i="3"/>
  <c r="C10" i="3"/>
  <c r="D10" i="3" s="1"/>
  <c r="H4" i="3"/>
  <c r="C9" i="3"/>
  <c r="D9" i="3" s="1"/>
  <c r="B16" i="4"/>
  <c r="C16" i="4" s="1"/>
  <c r="D16" i="4" s="1"/>
  <c r="F16" i="4" s="1"/>
  <c r="H22" i="4"/>
  <c r="F22" i="3"/>
  <c r="H22" i="3"/>
  <c r="F13" i="4"/>
  <c r="H13" i="4"/>
  <c r="F6" i="3"/>
  <c r="F3" i="3"/>
  <c r="H3" i="3"/>
  <c r="F6" i="4"/>
  <c r="H6" i="4"/>
  <c r="H4" i="4"/>
  <c r="B24" i="4"/>
  <c r="C24" i="4" s="1"/>
  <c r="D24" i="4" s="1"/>
  <c r="C24" i="3"/>
  <c r="D24" i="3" s="1"/>
  <c r="H19" i="4"/>
  <c r="F19" i="4"/>
  <c r="F10" i="4"/>
  <c r="H10" i="4"/>
  <c r="H15" i="3"/>
  <c r="F15" i="3"/>
  <c r="F22" i="2"/>
  <c r="H22" i="2"/>
  <c r="H3" i="2"/>
  <c r="H20" i="2"/>
  <c r="F23" i="2"/>
  <c r="H10" i="2"/>
  <c r="H8" i="2"/>
  <c r="F13" i="2"/>
  <c r="C5" i="2"/>
  <c r="D5" i="2" s="1"/>
  <c r="B21" i="3"/>
  <c r="C21" i="2"/>
  <c r="D21" i="2" s="1"/>
  <c r="B12" i="3"/>
  <c r="C12" i="2"/>
  <c r="D12" i="2" s="1"/>
  <c r="H19" i="1"/>
  <c r="B5" i="4"/>
  <c r="C5" i="4" s="1"/>
  <c r="D5" i="4" s="1"/>
  <c r="B17" i="4"/>
  <c r="C17" i="4" s="1"/>
  <c r="D17" i="4" s="1"/>
  <c r="C17" i="3"/>
  <c r="D17" i="3" s="1"/>
  <c r="C8" i="3"/>
  <c r="D8" i="3" s="1"/>
  <c r="B8" i="4"/>
  <c r="C8" i="4" s="1"/>
  <c r="D8" i="4" s="1"/>
  <c r="H25" i="1"/>
  <c r="F25" i="1"/>
  <c r="H17" i="1"/>
  <c r="H6" i="1"/>
  <c r="H20" i="1"/>
  <c r="H5" i="3"/>
  <c r="C13" i="3"/>
  <c r="D13" i="3" s="1"/>
  <c r="H16" i="3"/>
  <c r="F16" i="3"/>
  <c r="F26" i="1"/>
  <c r="H17" i="2"/>
  <c r="F17" i="2"/>
  <c r="C19" i="2"/>
  <c r="D19" i="2" s="1"/>
  <c r="C24" i="2"/>
  <c r="D24" i="2" s="1"/>
  <c r="C14" i="2"/>
  <c r="D14" i="2" s="1"/>
  <c r="B14" i="3"/>
  <c r="C11" i="3"/>
  <c r="D11" i="3" s="1"/>
  <c r="B11" i="4"/>
  <c r="C11" i="4" s="1"/>
  <c r="D11" i="4" s="1"/>
  <c r="H27" i="1"/>
  <c r="H16" i="2" l="1"/>
  <c r="H25" i="4"/>
  <c r="F25" i="4"/>
  <c r="F15" i="4"/>
  <c r="F7" i="4"/>
  <c r="F11" i="2"/>
  <c r="H11" i="2"/>
  <c r="H7" i="2"/>
  <c r="F7" i="2"/>
  <c r="H16" i="4"/>
  <c r="F18" i="3"/>
  <c r="F20" i="4"/>
  <c r="F19" i="3"/>
  <c r="H19" i="3"/>
  <c r="H10" i="3"/>
  <c r="F10" i="3"/>
  <c r="F9" i="3"/>
  <c r="H9" i="3"/>
  <c r="F11" i="3"/>
  <c r="H11" i="3"/>
  <c r="H17" i="3"/>
  <c r="F17" i="3"/>
  <c r="H5" i="2"/>
  <c r="F5" i="2"/>
  <c r="B14" i="4"/>
  <c r="C14" i="4" s="1"/>
  <c r="D14" i="4" s="1"/>
  <c r="C14" i="3"/>
  <c r="D14" i="3" s="1"/>
  <c r="H17" i="4"/>
  <c r="F17" i="4"/>
  <c r="C12" i="3"/>
  <c r="D12" i="3" s="1"/>
  <c r="B12" i="4"/>
  <c r="C12" i="4" s="1"/>
  <c r="D12" i="4" s="1"/>
  <c r="F14" i="2"/>
  <c r="H14" i="2"/>
  <c r="H13" i="3"/>
  <c r="F13" i="3"/>
  <c r="F8" i="4"/>
  <c r="H8" i="4"/>
  <c r="F5" i="4"/>
  <c r="H5" i="4"/>
  <c r="H21" i="2"/>
  <c r="F21" i="2"/>
  <c r="H19" i="2"/>
  <c r="F19" i="2"/>
  <c r="F12" i="2"/>
  <c r="H12" i="2"/>
  <c r="F24" i="3"/>
  <c r="H24" i="3"/>
  <c r="F24" i="4"/>
  <c r="H24" i="4"/>
  <c r="F11" i="4"/>
  <c r="H11" i="4"/>
  <c r="F24" i="2"/>
  <c r="H24" i="2"/>
  <c r="H8" i="3"/>
  <c r="F8" i="3"/>
  <c r="B21" i="4"/>
  <c r="C21" i="4" s="1"/>
  <c r="D21" i="4" s="1"/>
  <c r="C21" i="3"/>
  <c r="D21" i="3" s="1"/>
  <c r="F14" i="3" l="1"/>
  <c r="H14" i="3"/>
  <c r="F12" i="3"/>
  <c r="H12" i="3"/>
  <c r="H14" i="4"/>
  <c r="F14" i="4"/>
  <c r="H21" i="3"/>
  <c r="F21" i="3"/>
  <c r="H12" i="4"/>
  <c r="F12" i="4"/>
  <c r="F21" i="4"/>
  <c r="H21" i="4"/>
</calcChain>
</file>

<file path=xl/sharedStrings.xml><?xml version="1.0" encoding="utf-8"?>
<sst xmlns="http://schemas.openxmlformats.org/spreadsheetml/2006/main" count="202" uniqueCount="50">
  <si>
    <t>Hours per week</t>
  </si>
  <si>
    <t>Fee per hr</t>
  </si>
  <si>
    <t>Fee per week</t>
  </si>
  <si>
    <t># Monthly Fee</t>
  </si>
  <si>
    <t>##Membership -recreational</t>
  </si>
  <si>
    <t>Total monthly fee - Recreational</t>
  </si>
  <si>
    <t>##Membership -competitive</t>
  </si>
  <si>
    <t>Total monthly fee - Competitive</t>
  </si>
  <si>
    <t># Equivalent monthly fee is based on a 48 week year (excluding membership charge)</t>
  </si>
  <si>
    <t xml:space="preserve">## Monthly including £4.00 per month for competitive(greater than 5.5 hrs per wk) membership fees or £2 per month for recreational </t>
  </si>
  <si>
    <t>Saltire Team Gymnastics - New Fee Structure from 1 April 2016</t>
  </si>
  <si>
    <t>Saltire Team Gymnastics - New Fee Structure from 1 April 2017</t>
  </si>
  <si>
    <t>Saltire Team Gymnastics - New Fee Structure from 1 April 2018</t>
  </si>
  <si>
    <t>Saltire Team Gymnastics - New Fee Structure from 1 April 2019</t>
  </si>
  <si>
    <t>Includes membership fee</t>
  </si>
  <si>
    <t>##Membership</t>
  </si>
  <si>
    <t xml:space="preserve">Total monthly fee </t>
  </si>
  <si>
    <t>Pre school</t>
  </si>
  <si>
    <t>ASN</t>
  </si>
  <si>
    <t>Adults</t>
  </si>
  <si>
    <t>Per session</t>
  </si>
  <si>
    <t xml:space="preserve"># Equivalent monthly fee is based on a 42 week year </t>
  </si>
  <si>
    <t>ASN Complex needs</t>
  </si>
  <si>
    <t>Saltire Team Gymnastics - New Fee Structure from 1 April 2020</t>
  </si>
  <si>
    <t>Saltire Team Gymnastics - New Fee Structure from 1 April 2021</t>
  </si>
  <si>
    <t xml:space="preserve">##Membership </t>
  </si>
  <si>
    <t xml:space="preserve"># Equivalent monthly fee is based on a 48 week year </t>
  </si>
  <si>
    <t># # Equivalent monthly fee is based on a 42 week year (excluding membership charge)</t>
  </si>
  <si>
    <t>Adult Class weekly fee (Friday)</t>
  </si>
  <si>
    <t># #Total monthly fee Pre school</t>
  </si>
  <si>
    <t>#Total monthly fee Recreational</t>
  </si>
  <si>
    <t>#Total monthly fee Competitive</t>
  </si>
  <si>
    <t>Monthly fee with sibling discount</t>
  </si>
  <si>
    <t>pre school aged 5+</t>
  </si>
  <si>
    <t>Saltire Team Gymnastics - New Fee Structure from 1 April 2023</t>
  </si>
  <si>
    <t>##£Total monthly fee ASN</t>
  </si>
  <si>
    <t>Saltire Team Gymnastics - New Fee Structure from 1 May 2022</t>
  </si>
  <si>
    <t>Saltire Team Gymnastics - New Fee Structure from 1 April 2024</t>
  </si>
  <si>
    <t># Equivalent monthly fee is based on a 48 week year (Incl membership charge)</t>
  </si>
  <si>
    <t># # Equivalent monthly fee is based on a 42 week year (Incl membership charge)</t>
  </si>
  <si>
    <t>#Total monthly fee Competitive 7% increase</t>
  </si>
  <si>
    <t>#Total monthly fee Recreational 9% increase</t>
  </si>
  <si>
    <t>##£Total monthly fee ASN 9% increase</t>
  </si>
  <si>
    <t># #Total monthly fee Pre school 9% increase</t>
  </si>
  <si>
    <t>#Total monthly fee Recreational 6.5% increase</t>
  </si>
  <si>
    <t>#Total monthly fee Competitive 6.5% increase</t>
  </si>
  <si>
    <t>##£Total monthly fee ASN 6.5% increase</t>
  </si>
  <si>
    <t># #Total monthly fee Pre school 6.5% increase</t>
  </si>
  <si>
    <t>Saltire Team Gymnastics - New Fee Structure from 1 April 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</si>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</sst>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&quot;£&quot;#,##0"/>
    <numFmt numFmtId="166" formatCode="&quot;£&quot;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b/>
      <u/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12"/>
      <color rgb="FF000000"/>
      <name val="Calibri"/>
      <family val="2"/>
      <scheme val="minor"/>
    </font>
    <font>
      <sz val="1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59">
    <xf numFmtId="0" fontId="0" fillId="0" borderId="0" xfId="0"/>
    <xf numFmtId="0" fontId="2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left"/>
    </xf>
    <xf numFmtId="164" fontId="4" fillId="0" borderId="0" xfId="1" applyNumberFormat="1" applyFont="1" applyAlignment="1" applyProtection="1"/>
    <xf numFmtId="164" fontId="0" fillId="2" borderId="0" xfId="0" applyNumberFormat="1" applyFill="1"/>
    <xf numFmtId="0" fontId="5" fillId="0" borderId="0" xfId="0" applyFont="1"/>
    <xf numFmtId="164" fontId="5" fillId="0" borderId="0" xfId="0" applyNumberFormat="1" applyFont="1"/>
    <xf numFmtId="2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164" fontId="7" fillId="0" borderId="0" xfId="1" applyNumberFormat="1" applyFont="1" applyAlignment="1" applyProtection="1"/>
    <xf numFmtId="2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left"/>
    </xf>
    <xf numFmtId="0" fontId="1" fillId="2" borderId="0" xfId="0" applyFont="1" applyFill="1" applyAlignment="1">
      <alignment horizontal="center" wrapText="1"/>
    </xf>
    <xf numFmtId="8" fontId="0" fillId="0" borderId="0" xfId="0" applyNumberFormat="1"/>
    <xf numFmtId="8" fontId="0" fillId="0" borderId="0" xfId="0" applyNumberFormat="1" applyAlignment="1">
      <alignment vertical="center"/>
    </xf>
    <xf numFmtId="6" fontId="0" fillId="0" borderId="0" xfId="0" applyNumberFormat="1"/>
    <xf numFmtId="6" fontId="8" fillId="0" borderId="0" xfId="0" applyNumberFormat="1" applyFont="1"/>
    <xf numFmtId="8" fontId="9" fillId="0" borderId="0" xfId="0" applyNumberFormat="1" applyFont="1" applyAlignment="1">
      <alignment horizontal="right" vertical="center"/>
    </xf>
    <xf numFmtId="6" fontId="9" fillId="0" borderId="0" xfId="0" applyNumberFormat="1" applyFont="1" applyAlignment="1">
      <alignment horizontal="right" vertical="center"/>
    </xf>
    <xf numFmtId="2" fontId="1" fillId="0" borderId="0" xfId="0" applyNumberFormat="1" applyFont="1"/>
    <xf numFmtId="165" fontId="0" fillId="0" borderId="0" xfId="0" applyNumberForma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13" fillId="0" borderId="0" xfId="0" applyFont="1" applyAlignment="1">
      <alignment horizontal="center"/>
    </xf>
    <xf numFmtId="164" fontId="13" fillId="2" borderId="0" xfId="0" applyNumberFormat="1" applyFont="1" applyFill="1" applyAlignment="1">
      <alignment horizontal="center" wrapText="1"/>
    </xf>
    <xf numFmtId="0" fontId="12" fillId="0" borderId="0" xfId="0" applyFont="1" applyAlignment="1">
      <alignment horizontal="left"/>
    </xf>
    <xf numFmtId="164" fontId="12" fillId="2" borderId="0" xfId="0" applyNumberFormat="1" applyFont="1" applyFill="1"/>
    <xf numFmtId="165" fontId="12" fillId="0" borderId="0" xfId="0" applyNumberFormat="1" applyFont="1"/>
    <xf numFmtId="2" fontId="12" fillId="0" borderId="0" xfId="0" applyNumberFormat="1" applyFont="1"/>
    <xf numFmtId="0" fontId="12" fillId="0" borderId="0" xfId="0" applyFont="1" applyAlignment="1">
      <alignment horizontal="right"/>
    </xf>
    <xf numFmtId="164" fontId="13" fillId="3" borderId="0" xfId="0" applyNumberFormat="1" applyFont="1" applyFill="1" applyAlignment="1">
      <alignment horizontal="center" wrapText="1"/>
    </xf>
    <xf numFmtId="164" fontId="12" fillId="3" borderId="0" xfId="0" applyNumberFormat="1" applyFont="1" applyFill="1"/>
    <xf numFmtId="0" fontId="13" fillId="4" borderId="0" xfId="0" applyFont="1" applyFill="1" applyAlignment="1">
      <alignment horizontal="center" wrapText="1"/>
    </xf>
    <xf numFmtId="164" fontId="13" fillId="4" borderId="0" xfId="0" applyNumberFormat="1" applyFont="1" applyFill="1" applyAlignment="1">
      <alignment horizontal="center" wrapText="1"/>
    </xf>
    <xf numFmtId="164" fontId="10" fillId="4" borderId="0" xfId="0" applyNumberFormat="1" applyFont="1" applyFill="1"/>
    <xf numFmtId="164" fontId="12" fillId="4" borderId="0" xfId="0" applyNumberFormat="1" applyFont="1" applyFill="1"/>
    <xf numFmtId="0" fontId="13" fillId="5" borderId="0" xfId="0" applyFont="1" applyFill="1" applyAlignment="1">
      <alignment horizontal="center" wrapText="1"/>
    </xf>
    <xf numFmtId="164" fontId="13" fillId="5" borderId="0" xfId="0" applyNumberFormat="1" applyFont="1" applyFill="1" applyAlignment="1">
      <alignment horizontal="center" wrapText="1"/>
    </xf>
    <xf numFmtId="165" fontId="12" fillId="5" borderId="0" xfId="0" applyNumberFormat="1" applyFont="1" applyFill="1" applyAlignment="1">
      <alignment horizontal="right" wrapText="1"/>
    </xf>
    <xf numFmtId="164" fontId="12" fillId="5" borderId="0" xfId="0" applyNumberFormat="1" applyFont="1" applyFill="1" applyAlignment="1">
      <alignment horizontal="right" wrapText="1"/>
    </xf>
    <xf numFmtId="165" fontId="12" fillId="5" borderId="0" xfId="0" applyNumberFormat="1" applyFont="1" applyFill="1" applyAlignment="1">
      <alignment horizontal="right"/>
    </xf>
    <xf numFmtId="0" fontId="12" fillId="5" borderId="0" xfId="0" applyFont="1" applyFill="1"/>
    <xf numFmtId="0" fontId="13" fillId="6" borderId="0" xfId="0" applyFont="1" applyFill="1" applyAlignment="1">
      <alignment horizontal="center" wrapText="1"/>
    </xf>
    <xf numFmtId="0" fontId="12" fillId="6" borderId="0" xfId="0" applyFont="1" applyFill="1"/>
    <xf numFmtId="164" fontId="12" fillId="6" borderId="0" xfId="0" applyNumberFormat="1" applyFont="1" applyFill="1"/>
    <xf numFmtId="164" fontId="13" fillId="6" borderId="0" xfId="0" applyNumberFormat="1" applyFont="1" applyFill="1" applyAlignment="1">
      <alignment horizontal="center" wrapText="1"/>
    </xf>
    <xf numFmtId="164" fontId="12" fillId="4" borderId="0" xfId="0" applyNumberFormat="1" applyFont="1" applyFill="1" applyAlignment="1">
      <alignment horizontal="center" wrapText="1"/>
    </xf>
    <xf numFmtId="164" fontId="0" fillId="3" borderId="0" xfId="0" applyNumberFormat="1" applyFill="1"/>
    <xf numFmtId="166" fontId="12" fillId="0" borderId="0" xfId="0" applyNumberFormat="1" applyFont="1"/>
    <xf numFmtId="164" fontId="10" fillId="0" borderId="0" xfId="0" applyNumberFormat="1" applyFont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hyperlink" Target="mailto:=@round((C3*42/12),0)" TargetMode="External"/><Relationship Id="rId7" Type="http://schemas.openxmlformats.org/officeDocument/2006/relationships/hyperlink" Target="mailto:=@round((C3*42/12),0)" TargetMode="External"/><Relationship Id="rId2" Type="http://schemas.openxmlformats.org/officeDocument/2006/relationships/hyperlink" Target="mailto:=@round((C3*42/12),0)" TargetMode="External"/><Relationship Id="rId1" Type="http://schemas.openxmlformats.org/officeDocument/2006/relationships/hyperlink" Target="mailto:=@round((C3*42/12),0)" TargetMode="External"/><Relationship Id="rId6" Type="http://schemas.openxmlformats.org/officeDocument/2006/relationships/hyperlink" Target="mailto:=@round((C3*42/12),0)" TargetMode="External"/><Relationship Id="rId5" Type="http://schemas.openxmlformats.org/officeDocument/2006/relationships/hyperlink" Target="mailto:=@round((C3*42/12),0)" TargetMode="External"/><Relationship Id="rId4" Type="http://schemas.openxmlformats.org/officeDocument/2006/relationships/hyperlink" Target="mailto:=@round((C3*42/12),0)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=@round((C3*42/12),0)" TargetMode="External"/><Relationship Id="rId2" Type="http://schemas.openxmlformats.org/officeDocument/2006/relationships/hyperlink" Target="mailto:=@round((C3*42/12),0)" TargetMode="External"/><Relationship Id="rId1" Type="http://schemas.openxmlformats.org/officeDocument/2006/relationships/hyperlink" Target="mailto:=@round((C3*42/12),0)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mailto:=@round((C3*42/12),0)" TargetMode="External"/><Relationship Id="rId4" Type="http://schemas.openxmlformats.org/officeDocument/2006/relationships/hyperlink" Target="mailto:=@round((C3*42/12),0)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=@round((C3*42/12),0)" TargetMode="External"/><Relationship Id="rId3" Type="http://schemas.openxmlformats.org/officeDocument/2006/relationships/hyperlink" Target="mailto:=@round((C3*42/12),0)" TargetMode="External"/><Relationship Id="rId7" Type="http://schemas.openxmlformats.org/officeDocument/2006/relationships/hyperlink" Target="mailto:=@round((C3*42/12),0)" TargetMode="External"/><Relationship Id="rId2" Type="http://schemas.openxmlformats.org/officeDocument/2006/relationships/hyperlink" Target="mailto:=@round((C3*42/12),0)" TargetMode="External"/><Relationship Id="rId1" Type="http://schemas.openxmlformats.org/officeDocument/2006/relationships/hyperlink" Target="mailto:=@round((C3*42/12),0)" TargetMode="External"/><Relationship Id="rId6" Type="http://schemas.openxmlformats.org/officeDocument/2006/relationships/hyperlink" Target="mailto:=@round((C3*42/12),0)" TargetMode="External"/><Relationship Id="rId5" Type="http://schemas.openxmlformats.org/officeDocument/2006/relationships/hyperlink" Target="mailto:=@round((C3*42/12),0)" TargetMode="External"/><Relationship Id="rId10" Type="http://schemas.openxmlformats.org/officeDocument/2006/relationships/printerSettings" Target="../printerSettings/printerSettings12.bin"/><Relationship Id="rId4" Type="http://schemas.openxmlformats.org/officeDocument/2006/relationships/hyperlink" Target="mailto:=@round((C3*42/12),0)" TargetMode="External"/><Relationship Id="rId9" Type="http://schemas.openxmlformats.org/officeDocument/2006/relationships/hyperlink" Target="mailto:=@round((C3*42/12),0)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hyperlink" Target="mailto:=@round((C3*42/12),0)" TargetMode="External"/><Relationship Id="rId7" Type="http://schemas.openxmlformats.org/officeDocument/2006/relationships/hyperlink" Target="mailto:=@round((C3*42/12),0)" TargetMode="External"/><Relationship Id="rId2" Type="http://schemas.openxmlformats.org/officeDocument/2006/relationships/hyperlink" Target="mailto:=@round((C3*42/12),0)" TargetMode="External"/><Relationship Id="rId1" Type="http://schemas.openxmlformats.org/officeDocument/2006/relationships/hyperlink" Target="mailto:=@round((C3*42/12),0)" TargetMode="External"/><Relationship Id="rId6" Type="http://schemas.openxmlformats.org/officeDocument/2006/relationships/hyperlink" Target="mailto:=@round((C3*42/12),0)" TargetMode="External"/><Relationship Id="rId5" Type="http://schemas.openxmlformats.org/officeDocument/2006/relationships/hyperlink" Target="mailto:=@round((C3*42/12),0)" TargetMode="External"/><Relationship Id="rId4" Type="http://schemas.openxmlformats.org/officeDocument/2006/relationships/hyperlink" Target="mailto:=@round((C3*42/12),0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=@round((C3*42/12),0)" TargetMode="External"/><Relationship Id="rId1" Type="http://schemas.openxmlformats.org/officeDocument/2006/relationships/hyperlink" Target="mailto:=@round((C3*42/12),0)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=@round((C3*42/12),0)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mailto:=@round((C3*42/12),0)" TargetMode="External"/><Relationship Id="rId1" Type="http://schemas.openxmlformats.org/officeDocument/2006/relationships/hyperlink" Target="mailto:=@round((C3*42/12),0)" TargetMode="External"/><Relationship Id="rId6" Type="http://schemas.openxmlformats.org/officeDocument/2006/relationships/hyperlink" Target="mailto:=@round((C3*42/12),0)" TargetMode="External"/><Relationship Id="rId5" Type="http://schemas.openxmlformats.org/officeDocument/2006/relationships/hyperlink" Target="mailto:=@round((C3*42/12),0)" TargetMode="External"/><Relationship Id="rId4" Type="http://schemas.openxmlformats.org/officeDocument/2006/relationships/hyperlink" Target="mailto:=@round((C3*42/12),0)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=@round((C3*42/12),0)" TargetMode="External"/><Relationship Id="rId2" Type="http://schemas.openxmlformats.org/officeDocument/2006/relationships/hyperlink" Target="mailto:=@round((C3*42/12),0)" TargetMode="External"/><Relationship Id="rId1" Type="http://schemas.openxmlformats.org/officeDocument/2006/relationships/hyperlink" Target="mailto:=@round((C3*42/12),0)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=@round((C3*42/12),0)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=@round((C3*42/12),0)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mailto:=@round((C3*42/12),0)" TargetMode="External"/><Relationship Id="rId1" Type="http://schemas.openxmlformats.org/officeDocument/2006/relationships/hyperlink" Target="mailto:=@round((C3*42/12),0)" TargetMode="External"/><Relationship Id="rId6" Type="http://schemas.openxmlformats.org/officeDocument/2006/relationships/hyperlink" Target="mailto:=@round((C3*42/12),0)" TargetMode="External"/><Relationship Id="rId5" Type="http://schemas.openxmlformats.org/officeDocument/2006/relationships/hyperlink" Target="mailto:=@round((C3*42/12),0)" TargetMode="External"/><Relationship Id="rId4" Type="http://schemas.openxmlformats.org/officeDocument/2006/relationships/hyperlink" Target="mailto:=@round((C3*42/12),0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mailto:=@round((C3*42/12),0)" TargetMode="External"/><Relationship Id="rId7" Type="http://schemas.openxmlformats.org/officeDocument/2006/relationships/hyperlink" Target="mailto:=@round((C3*42/12),0)" TargetMode="External"/><Relationship Id="rId2" Type="http://schemas.openxmlformats.org/officeDocument/2006/relationships/hyperlink" Target="mailto:=@round((C3*42/12),0)" TargetMode="External"/><Relationship Id="rId1" Type="http://schemas.openxmlformats.org/officeDocument/2006/relationships/hyperlink" Target="mailto:=@round((C3*42/12),0)" TargetMode="External"/><Relationship Id="rId6" Type="http://schemas.openxmlformats.org/officeDocument/2006/relationships/hyperlink" Target="mailto:=@round((C3*42/12),0)" TargetMode="External"/><Relationship Id="rId5" Type="http://schemas.openxmlformats.org/officeDocument/2006/relationships/hyperlink" Target="mailto:=@round((C3*42/12),0)" TargetMode="External"/><Relationship Id="rId4" Type="http://schemas.openxmlformats.org/officeDocument/2006/relationships/hyperlink" Target="mailto:=@round((C3*42/12),0)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@round((C3*42/12),0)" TargetMode="External"/><Relationship Id="rId3" Type="http://schemas.openxmlformats.org/officeDocument/2006/relationships/hyperlink" Target="mailto:=@round((C3*42/12),0)" TargetMode="External"/><Relationship Id="rId7" Type="http://schemas.openxmlformats.org/officeDocument/2006/relationships/hyperlink" Target="mailto:=@round((C3*42/12),0)" TargetMode="External"/><Relationship Id="rId2" Type="http://schemas.openxmlformats.org/officeDocument/2006/relationships/hyperlink" Target="mailto:=@round((C3*42/12),0)" TargetMode="External"/><Relationship Id="rId1" Type="http://schemas.openxmlformats.org/officeDocument/2006/relationships/hyperlink" Target="mailto:=@round((C3*42/12),0)" TargetMode="External"/><Relationship Id="rId6" Type="http://schemas.openxmlformats.org/officeDocument/2006/relationships/hyperlink" Target="mailto:=@round((C3*42/12),0)" TargetMode="External"/><Relationship Id="rId11" Type="http://schemas.openxmlformats.org/officeDocument/2006/relationships/printerSettings" Target="../printerSettings/printerSettings9.bin"/><Relationship Id="rId5" Type="http://schemas.openxmlformats.org/officeDocument/2006/relationships/hyperlink" Target="mailto:=@round((C3*42/12),0)" TargetMode="External"/><Relationship Id="rId10" Type="http://schemas.openxmlformats.org/officeDocument/2006/relationships/hyperlink" Target="mailto:=@round((C3*42/12),0)" TargetMode="External"/><Relationship Id="rId4" Type="http://schemas.openxmlformats.org/officeDocument/2006/relationships/hyperlink" Target="mailto:=@round((C3*42/12),0)" TargetMode="External"/><Relationship Id="rId9" Type="http://schemas.openxmlformats.org/officeDocument/2006/relationships/hyperlink" Target="mailto:=@round((C3*42/12),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74E47-78B0-F945-ADD3-9A5C529A6786}">
  <sheetPr codeName="Sheet13">
    <pageSetUpPr fitToPage="1"/>
  </sheetPr>
  <dimension ref="A1:S56"/>
  <sheetViews>
    <sheetView tabSelected="1" zoomScaleNormal="100" workbookViewId="0">
      <selection activeCell="B11" sqref="B11"/>
    </sheetView>
  </sheetViews>
  <sheetFormatPr defaultColWidth="8.77734375" defaultRowHeight="14.4" x14ac:dyDescent="0.3"/>
  <cols>
    <col min="1" max="1" width="17.6640625" style="31" customWidth="1"/>
    <col min="2" max="3" width="12.77734375" style="30" customWidth="1"/>
    <col min="4" max="5" width="13.44140625" style="31" customWidth="1"/>
    <col min="6" max="8" width="8.77734375" style="31"/>
    <col min="9" max="10" width="10.109375" style="31" customWidth="1"/>
    <col min="12" max="16384" width="8.77734375" style="31"/>
  </cols>
  <sheetData>
    <row r="1" spans="1:19" ht="21" x14ac:dyDescent="0.4">
      <c r="A1" s="29" t="s">
        <v>48</v>
      </c>
    </row>
    <row r="2" spans="1:19" ht="111" x14ac:dyDescent="0.3">
      <c r="A2" s="32" t="s">
        <v>0</v>
      </c>
      <c r="B2" s="33" t="s">
        <v>44</v>
      </c>
      <c r="C2" s="33" t="s">
        <v>32</v>
      </c>
      <c r="D2" s="39" t="s">
        <v>45</v>
      </c>
      <c r="E2" s="39" t="s">
        <v>32</v>
      </c>
      <c r="F2" s="41" t="s">
        <v>46</v>
      </c>
      <c r="G2" s="42" t="s">
        <v>32</v>
      </c>
      <c r="H2" s="51" t="s">
        <v>28</v>
      </c>
      <c r="I2" s="45" t="s">
        <v>47</v>
      </c>
      <c r="J2" s="46" t="s">
        <v>32</v>
      </c>
      <c r="N2" s="34"/>
      <c r="O2" s="34"/>
    </row>
    <row r="3" spans="1:19" ht="13.8" x14ac:dyDescent="0.25">
      <c r="A3" s="38">
        <v>0.75</v>
      </c>
      <c r="B3" s="54"/>
      <c r="C3" s="54"/>
      <c r="D3" s="54"/>
      <c r="E3" s="54"/>
      <c r="F3" s="43">
        <f>MROUND((('Saltire Fees 2024-25'!F3-3)*1.065+3),0.5)</f>
        <v>31</v>
      </c>
      <c r="G3" s="43">
        <f>MROUND(((F3-3)-((F3-3)*0.25)+3),0.5)</f>
        <v>24</v>
      </c>
      <c r="H3" s="52"/>
      <c r="I3" s="48">
        <f>MROUND((('Saltire Fees 2024-25'!I3-3)*1.065+3),0.5)</f>
        <v>27.5</v>
      </c>
      <c r="J3" s="48">
        <f>MROUND(((I3-3)-((I3-3)*0.25)+3),0.5)</f>
        <v>21.5</v>
      </c>
      <c r="K3" s="31"/>
      <c r="N3" s="34"/>
      <c r="O3" s="34"/>
    </row>
    <row r="4" spans="1:19" ht="13.8" x14ac:dyDescent="0.25">
      <c r="A4" s="38">
        <v>0.75</v>
      </c>
      <c r="B4" s="54"/>
      <c r="C4" s="54"/>
      <c r="D4" s="54"/>
      <c r="E4" s="54"/>
      <c r="F4" s="54"/>
      <c r="G4" s="54"/>
      <c r="H4" s="52"/>
      <c r="I4" s="48">
        <f>MROUND((('Saltire Fees 2024-25'!I4-3)*1.065+3),0.5)</f>
        <v>28.5</v>
      </c>
      <c r="J4" s="48">
        <f t="shared" ref="J4:J6" si="0">MROUND(((I4-3)-((I4-3)*0.25)+3),0.5)</f>
        <v>22</v>
      </c>
      <c r="K4" s="31" t="s">
        <v>33</v>
      </c>
      <c r="N4" s="34"/>
      <c r="O4" s="34"/>
    </row>
    <row r="5" spans="1:19" x14ac:dyDescent="0.3">
      <c r="A5" s="31">
        <v>1</v>
      </c>
      <c r="B5" s="8">
        <f>MROUND((('Saltire Fees 2024-25'!B5-3)*1.065+3),0.5)</f>
        <v>36</v>
      </c>
      <c r="C5" s="35">
        <f t="shared" ref="C5" si="1">MROUND(((B5-3)-((B5-3)*0.25)+3),0.5)</f>
        <v>28</v>
      </c>
      <c r="D5" s="56">
        <f>MROUND((('Saltire Fees 2024-25'!D5-5)*1.065+5),0.5)</f>
        <v>38</v>
      </c>
      <c r="E5" s="40">
        <f>MROUND(((D5-5)-((D5-5)*0.25)+5),0.5)</f>
        <v>30</v>
      </c>
      <c r="F5" s="43">
        <f>MROUND((('Saltire Fees 2024-25'!F5-3)*1.065+3),0.5)</f>
        <v>36</v>
      </c>
      <c r="G5" s="43">
        <f t="shared" ref="G5" si="2">MROUND(((F5-3)-((F5-3)*0.25)+3),0.5)</f>
        <v>28</v>
      </c>
      <c r="H5" s="43">
        <f>MROUND((('Saltire Fees 2024-25'!H5)*1.065),0.5)</f>
        <v>9.5</v>
      </c>
      <c r="I5" s="48">
        <f>MROUND((('Saltire Fees 2024-25'!I5-3)*1.065+3),0.5)</f>
        <v>35</v>
      </c>
      <c r="J5" s="48">
        <f t="shared" si="0"/>
        <v>27</v>
      </c>
      <c r="K5" s="31"/>
      <c r="L5" s="30"/>
      <c r="N5" s="34"/>
      <c r="O5" s="34"/>
    </row>
    <row r="6" spans="1:19" x14ac:dyDescent="0.3">
      <c r="A6" s="31">
        <v>1.5</v>
      </c>
      <c r="B6" s="8">
        <f>MROUND((('Saltire Fees 2024-25'!B6-3)*1.065+3),0.5)</f>
        <v>52.5</v>
      </c>
      <c r="C6" s="35">
        <f t="shared" ref="C6:C49" si="3">MROUND(((B6-3)-((B6-3)*0.25)+3),0.5)</f>
        <v>40</v>
      </c>
      <c r="D6" s="56">
        <f>MROUND((('Saltire Fees 2024-25'!D6-5)*1.065+5),0.5)</f>
        <v>54</v>
      </c>
      <c r="E6" s="40">
        <f t="shared" ref="E6:E49" si="4">MROUND(((D6-5)-((D6-5)*0.25)+5),0.5)</f>
        <v>42</v>
      </c>
      <c r="F6" s="43">
        <f>MROUND((('Saltire Fees 2024-25'!F6-3)*1.065+3),0.5)</f>
        <v>52.5</v>
      </c>
      <c r="G6" s="43">
        <f t="shared" ref="G6:G7" si="5">MROUND(((F6-3)-((F6-3)*0.25)+3),0.5)</f>
        <v>40</v>
      </c>
      <c r="H6" s="43">
        <f>MROUND((('Saltire Fees 2024-25'!H6)*1.065),0.5)</f>
        <v>12.5</v>
      </c>
      <c r="I6" s="48">
        <f>MROUND((('Saltire Fees 2024-25'!I6-3)*1.065+3),0.5)</f>
        <v>51.5</v>
      </c>
      <c r="J6" s="48">
        <f t="shared" si="0"/>
        <v>39.5</v>
      </c>
      <c r="K6" s="31"/>
      <c r="L6" s="30"/>
      <c r="N6" s="34"/>
    </row>
    <row r="7" spans="1:19" ht="15.6" x14ac:dyDescent="0.3">
      <c r="A7" s="31">
        <v>2</v>
      </c>
      <c r="B7" s="8">
        <f>MROUND((('Saltire Fees 2024-25'!B7-3)*1.065+3),0.5)</f>
        <v>61.5</v>
      </c>
      <c r="C7" s="35">
        <f t="shared" si="3"/>
        <v>47</v>
      </c>
      <c r="D7" s="56">
        <f>MROUND((('Saltire Fees 2024-25'!D7-5)*1.065+5),0.5)</f>
        <v>62.5</v>
      </c>
      <c r="E7" s="40">
        <f t="shared" si="4"/>
        <v>48</v>
      </c>
      <c r="F7" s="43">
        <f>MROUND((('Saltire Fees 2024-25'!F7-3)*1.065+3),0.5)</f>
        <v>61.5</v>
      </c>
      <c r="G7" s="43">
        <f t="shared" si="5"/>
        <v>47</v>
      </c>
      <c r="H7" s="43"/>
      <c r="I7" s="50"/>
      <c r="J7" s="50"/>
      <c r="K7" s="31"/>
      <c r="L7" s="30"/>
      <c r="N7" s="34"/>
      <c r="S7" s="9"/>
    </row>
    <row r="8" spans="1:19" ht="15.6" x14ac:dyDescent="0.3">
      <c r="A8" s="31">
        <v>2.25</v>
      </c>
      <c r="B8" s="8">
        <f>MROUND((('Saltire Fees 2024-25'!B8-3)*1.065+3),0.5)</f>
        <v>65</v>
      </c>
      <c r="C8" s="35">
        <f t="shared" si="3"/>
        <v>49.5</v>
      </c>
      <c r="D8" s="56">
        <f>MROUND((('Saltire Fees 2024-25'!D8-5)*1.065+5),0.5)</f>
        <v>65</v>
      </c>
      <c r="E8" s="40">
        <f t="shared" si="4"/>
        <v>50</v>
      </c>
      <c r="F8" s="43"/>
      <c r="G8" s="43"/>
      <c r="H8" s="43"/>
      <c r="I8" s="50"/>
      <c r="J8" s="50"/>
      <c r="K8" s="31"/>
      <c r="L8" s="30"/>
      <c r="N8" s="34"/>
      <c r="S8" s="9"/>
    </row>
    <row r="9" spans="1:19" ht="15.6" x14ac:dyDescent="0.3">
      <c r="A9" s="31">
        <v>2.5</v>
      </c>
      <c r="B9" s="8">
        <f>MROUND((('Saltire Fees 2024-25'!B9-3)*1.065+3),0.5)</f>
        <v>70</v>
      </c>
      <c r="C9" s="35">
        <f t="shared" si="3"/>
        <v>53.5</v>
      </c>
      <c r="D9" s="56">
        <f>MROUND((('Saltire Fees 2024-25'!D9-5)*1.065+5),0.5)</f>
        <v>69</v>
      </c>
      <c r="E9" s="40">
        <f t="shared" si="4"/>
        <v>53</v>
      </c>
      <c r="F9" s="58"/>
      <c r="G9" s="58"/>
      <c r="H9" s="43"/>
      <c r="I9" s="50"/>
      <c r="J9" s="50"/>
      <c r="K9" s="31"/>
      <c r="L9" s="30"/>
      <c r="N9" s="34"/>
      <c r="S9" s="9"/>
    </row>
    <row r="10" spans="1:19" ht="15.6" x14ac:dyDescent="0.3">
      <c r="A10" s="31">
        <v>2.75</v>
      </c>
      <c r="B10" s="8">
        <f>MROUND((('Saltire Fees 2024-25'!B10-3)*1.065+3),0.5)</f>
        <v>75</v>
      </c>
      <c r="C10" s="35">
        <f t="shared" si="3"/>
        <v>57</v>
      </c>
      <c r="D10" s="56">
        <f>MROUND((('Saltire Fees 2024-25'!D10-5)*1.065+5),0.5)</f>
        <v>73</v>
      </c>
      <c r="E10" s="40">
        <f t="shared" si="4"/>
        <v>56</v>
      </c>
      <c r="F10" s="58"/>
      <c r="G10" s="58"/>
      <c r="H10" s="43"/>
      <c r="I10" s="50"/>
      <c r="J10" s="50"/>
      <c r="K10" s="31"/>
      <c r="L10" s="30"/>
      <c r="M10" s="31" t="s">
        <v>49</v>
      </c>
      <c r="N10" s="34"/>
      <c r="S10" s="9"/>
    </row>
    <row r="11" spans="1:19" x14ac:dyDescent="0.3">
      <c r="A11" s="31">
        <v>3</v>
      </c>
      <c r="B11" s="8">
        <f>MROUND((('Saltire Fees 2024-25'!B11-3)*1.065+3),0.5)</f>
        <v>78.5</v>
      </c>
      <c r="C11" s="35">
        <f t="shared" si="3"/>
        <v>59.5</v>
      </c>
      <c r="D11" s="56">
        <f>MROUND((('Saltire Fees 2024-25'!D11-5)*1.065+5),0.5)</f>
        <v>78</v>
      </c>
      <c r="E11" s="40">
        <f t="shared" si="4"/>
        <v>60</v>
      </c>
      <c r="F11" s="58"/>
      <c r="G11" s="58"/>
      <c r="H11" s="43">
        <f>MROUND((('Saltire Fees 2024-25'!H11)*1.065),0.5)</f>
        <v>15.5</v>
      </c>
      <c r="I11" s="50"/>
      <c r="J11" s="50"/>
      <c r="K11" s="31"/>
      <c r="L11" s="30"/>
    </row>
    <row r="12" spans="1:19" x14ac:dyDescent="0.3">
      <c r="A12" s="31">
        <v>3.25</v>
      </c>
      <c r="B12" s="8">
        <f>MROUND((('Saltire Fees 2024-25'!B12-3)*1.065+3),0.5)</f>
        <v>80.5</v>
      </c>
      <c r="C12" s="35">
        <f t="shared" si="3"/>
        <v>61</v>
      </c>
      <c r="D12" s="56">
        <f>MROUND((('Saltire Fees 2024-25'!D12-5)*1.065+5),0.5)</f>
        <v>80</v>
      </c>
      <c r="E12" s="40">
        <f t="shared" si="4"/>
        <v>61.5</v>
      </c>
      <c r="F12" s="58"/>
      <c r="G12" s="58"/>
      <c r="H12" s="53"/>
      <c r="I12" s="50"/>
      <c r="J12" s="50"/>
      <c r="K12" s="31"/>
      <c r="L12" s="30"/>
    </row>
    <row r="13" spans="1:19" x14ac:dyDescent="0.3">
      <c r="A13" s="31">
        <v>3.5</v>
      </c>
      <c r="B13" s="8">
        <f>MROUND((('Saltire Fees 2024-25'!B13-3)*1.065+3),0.5)</f>
        <v>83</v>
      </c>
      <c r="C13" s="35">
        <f t="shared" si="3"/>
        <v>63</v>
      </c>
      <c r="D13" s="56">
        <f>MROUND((('Saltire Fees 2024-25'!D13-5)*1.065+5),0.5)</f>
        <v>84</v>
      </c>
      <c r="E13" s="40">
        <f t="shared" si="4"/>
        <v>64.5</v>
      </c>
      <c r="F13" s="36"/>
      <c r="G13" s="36"/>
      <c r="H13" s="30"/>
      <c r="K13" s="31"/>
      <c r="L13" s="30"/>
    </row>
    <row r="14" spans="1:19" x14ac:dyDescent="0.3">
      <c r="A14" s="31">
        <v>4</v>
      </c>
      <c r="B14" s="8">
        <f>MROUND((('Saltire Fees 2024-25'!B14-3)*1.065+3),0.5)</f>
        <v>85.5</v>
      </c>
      <c r="C14" s="35">
        <f t="shared" si="3"/>
        <v>65</v>
      </c>
      <c r="D14" s="56">
        <f>MROUND((('Saltire Fees 2024-25'!D14-5)*1.065+5),0.5)</f>
        <v>86</v>
      </c>
      <c r="E14" s="40">
        <f t="shared" si="4"/>
        <v>66</v>
      </c>
      <c r="F14" s="30"/>
      <c r="G14" s="36"/>
      <c r="H14" s="30"/>
      <c r="K14" s="31"/>
      <c r="L14" s="30"/>
    </row>
    <row r="15" spans="1:19" x14ac:dyDescent="0.3">
      <c r="A15" s="31">
        <v>4.25</v>
      </c>
      <c r="B15" s="8">
        <f>MROUND((('Saltire Fees 2024-25'!B15-3)*1.065+3),0.5)</f>
        <v>86.5</v>
      </c>
      <c r="C15" s="35">
        <f t="shared" si="3"/>
        <v>65.5</v>
      </c>
      <c r="D15" s="56">
        <f>MROUND((('Saltire Fees 2024-25'!D15-5)*1.065+5),0.5)</f>
        <v>87</v>
      </c>
      <c r="E15" s="40">
        <f t="shared" si="4"/>
        <v>66.5</v>
      </c>
      <c r="F15" s="30"/>
      <c r="G15" s="36"/>
      <c r="H15" s="30"/>
      <c r="K15" s="31"/>
      <c r="L15" s="30"/>
    </row>
    <row r="16" spans="1:19" x14ac:dyDescent="0.3">
      <c r="A16" s="31">
        <v>4.5</v>
      </c>
      <c r="B16" s="8">
        <f>MROUND((('Saltire Fees 2024-25'!B16-3)*1.065+3),0.5)</f>
        <v>88</v>
      </c>
      <c r="C16" s="35">
        <f t="shared" si="3"/>
        <v>67</v>
      </c>
      <c r="D16" s="56">
        <f>MROUND((('Saltire Fees 2024-25'!D16-5)*1.065+5),0.5)</f>
        <v>88.5</v>
      </c>
      <c r="E16" s="40">
        <f t="shared" si="4"/>
        <v>67.5</v>
      </c>
      <c r="F16" s="36"/>
      <c r="G16" s="36"/>
      <c r="H16" s="30"/>
      <c r="K16" s="31"/>
      <c r="L16" s="30"/>
    </row>
    <row r="17" spans="1:12" x14ac:dyDescent="0.3">
      <c r="A17" s="31">
        <v>4.75</v>
      </c>
      <c r="B17" s="8">
        <f>MROUND((('Saltire Fees 2024-25'!B17-3)*1.065+3),0.5)</f>
        <v>89.5</v>
      </c>
      <c r="C17" s="35">
        <f t="shared" si="3"/>
        <v>68</v>
      </c>
      <c r="D17" s="56">
        <f>MROUND((('Saltire Fees 2024-25'!D17-5)*1.065+5),0.5)</f>
        <v>89.5</v>
      </c>
      <c r="E17" s="40">
        <f t="shared" si="4"/>
        <v>68.5</v>
      </c>
      <c r="F17" s="36"/>
      <c r="G17" s="36"/>
      <c r="H17" s="30"/>
      <c r="K17" s="31"/>
      <c r="L17" s="30"/>
    </row>
    <row r="18" spans="1:12" x14ac:dyDescent="0.3">
      <c r="A18" s="31">
        <v>5</v>
      </c>
      <c r="B18" s="8">
        <f>MROUND((('Saltire Fees 2024-25'!B18-3)*1.065+3),0.5)</f>
        <v>91</v>
      </c>
      <c r="C18" s="35">
        <f t="shared" si="3"/>
        <v>69</v>
      </c>
      <c r="D18" s="56">
        <f>MROUND((('Saltire Fees 2024-25'!D18-5)*1.065+5),0.5)</f>
        <v>91.5</v>
      </c>
      <c r="E18" s="40">
        <f t="shared" si="4"/>
        <v>70</v>
      </c>
      <c r="F18" s="30"/>
      <c r="G18" s="57"/>
      <c r="H18" s="30"/>
      <c r="K18" s="31"/>
      <c r="L18" s="30"/>
    </row>
    <row r="19" spans="1:12" x14ac:dyDescent="0.3">
      <c r="A19" s="31">
        <v>5.25</v>
      </c>
      <c r="B19" s="8">
        <f>MROUND((('Saltire Fees 2024-25'!B19-3)*1.065+3),0.5)</f>
        <v>92.5</v>
      </c>
      <c r="C19" s="35">
        <f t="shared" si="3"/>
        <v>70</v>
      </c>
      <c r="D19" s="56">
        <f>MROUND((('Saltire Fees 2024-25'!D19-5)*1.065+5),0.5)</f>
        <v>93</v>
      </c>
      <c r="E19" s="40">
        <f t="shared" si="4"/>
        <v>71</v>
      </c>
      <c r="F19" s="30"/>
      <c r="G19" s="57"/>
      <c r="H19" s="30"/>
      <c r="K19" s="31"/>
      <c r="L19" s="30"/>
    </row>
    <row r="20" spans="1:12" x14ac:dyDescent="0.3">
      <c r="A20" s="31">
        <v>5.5</v>
      </c>
      <c r="B20" s="8">
        <f>MROUND((('Saltire Fees 2024-25'!B20-3)*1.065+3),0.5)</f>
        <v>95.5</v>
      </c>
      <c r="C20" s="35">
        <f t="shared" si="3"/>
        <v>72.5</v>
      </c>
      <c r="D20" s="56">
        <f>MROUND((('Saltire Fees 2024-25'!D20-5)*1.065+5),0.5)</f>
        <v>96</v>
      </c>
      <c r="E20" s="40">
        <f t="shared" si="4"/>
        <v>73.5</v>
      </c>
      <c r="F20" s="36"/>
      <c r="G20" s="30"/>
      <c r="H20" s="30"/>
      <c r="K20" s="31"/>
      <c r="L20" s="30"/>
    </row>
    <row r="21" spans="1:12" x14ac:dyDescent="0.3">
      <c r="A21" s="31">
        <v>6</v>
      </c>
      <c r="B21" s="8">
        <f>MROUND((('Saltire Fees 2024-25'!B21-3)*1.065+3),0.5)</f>
        <v>101</v>
      </c>
      <c r="C21" s="35">
        <f t="shared" si="3"/>
        <v>76.5</v>
      </c>
      <c r="D21" s="56">
        <f>MROUND((('Saltire Fees 2024-25'!D21-5)*1.065+5),0.5)</f>
        <v>101.5</v>
      </c>
      <c r="E21" s="40">
        <f t="shared" si="4"/>
        <v>77.5</v>
      </c>
      <c r="H21" s="30"/>
      <c r="K21" s="31"/>
      <c r="L21" s="30"/>
    </row>
    <row r="22" spans="1:12" x14ac:dyDescent="0.3">
      <c r="A22" s="31">
        <v>6.25</v>
      </c>
      <c r="B22" s="8">
        <f>MROUND((('Saltire Fees 2024-25'!B22-3)*1.065+3),0.5)</f>
        <v>101.5</v>
      </c>
      <c r="C22" s="35">
        <f t="shared" si="3"/>
        <v>77</v>
      </c>
      <c r="D22" s="56">
        <f>MROUND((('Saltire Fees 2024-25'!D22-5)*1.065+5),0.5)</f>
        <v>102</v>
      </c>
      <c r="E22" s="40">
        <f t="shared" si="4"/>
        <v>78</v>
      </c>
      <c r="H22" s="30"/>
      <c r="K22" s="31"/>
      <c r="L22" s="30"/>
    </row>
    <row r="23" spans="1:12" x14ac:dyDescent="0.3">
      <c r="A23" s="31">
        <v>6.5</v>
      </c>
      <c r="B23" s="8">
        <f>MROUND((('Saltire Fees 2024-25'!B23-3)*1.065+3),0.5)</f>
        <v>102</v>
      </c>
      <c r="C23" s="35">
        <f t="shared" si="3"/>
        <v>77.5</v>
      </c>
      <c r="D23" s="56">
        <f>MROUND((('Saltire Fees 2024-25'!D23-5)*1.065+5),0.5)</f>
        <v>102.5</v>
      </c>
      <c r="E23" s="40">
        <f t="shared" si="4"/>
        <v>78</v>
      </c>
      <c r="H23" s="30"/>
      <c r="K23" s="31"/>
      <c r="L23" s="30"/>
    </row>
    <row r="24" spans="1:12" x14ac:dyDescent="0.3">
      <c r="A24" s="31">
        <v>6.75</v>
      </c>
      <c r="B24" s="8">
        <f>MROUND((('Saltire Fees 2024-25'!B24-3)*1.065+3),0.5)</f>
        <v>102.5</v>
      </c>
      <c r="C24" s="35">
        <f t="shared" si="3"/>
        <v>77.5</v>
      </c>
      <c r="D24" s="56">
        <f>MROUND((('Saltire Fees 2024-25'!D24-5)*1.065+5),0.5)</f>
        <v>103</v>
      </c>
      <c r="E24" s="40">
        <f t="shared" si="4"/>
        <v>78.5</v>
      </c>
      <c r="H24" s="30"/>
      <c r="K24" s="31"/>
      <c r="L24" s="30"/>
    </row>
    <row r="25" spans="1:12" x14ac:dyDescent="0.3">
      <c r="A25" s="31">
        <v>7</v>
      </c>
      <c r="B25" s="8">
        <f>MROUND((('Saltire Fees 2024-25'!B25-3)*1.065+3),0.5)</f>
        <v>103.5</v>
      </c>
      <c r="C25" s="35">
        <f t="shared" si="3"/>
        <v>78.5</v>
      </c>
      <c r="D25" s="56">
        <f>MROUND((('Saltire Fees 2024-25'!D25-5)*1.065+5),0.5)</f>
        <v>103.5</v>
      </c>
      <c r="E25" s="40">
        <f t="shared" si="4"/>
        <v>79</v>
      </c>
      <c r="F25" s="30"/>
      <c r="H25" s="30"/>
      <c r="K25" s="31"/>
      <c r="L25" s="30"/>
    </row>
    <row r="26" spans="1:12" x14ac:dyDescent="0.3">
      <c r="A26" s="31">
        <v>7.25</v>
      </c>
      <c r="B26" s="8">
        <f>MROUND((('Saltire Fees 2024-25'!B26-3)*1.065+3),0.5)</f>
        <v>104</v>
      </c>
      <c r="C26" s="35">
        <f t="shared" si="3"/>
        <v>79</v>
      </c>
      <c r="D26" s="56">
        <f>MROUND((('Saltire Fees 2024-25'!D26-5)*1.065+5),0.5)</f>
        <v>104</v>
      </c>
      <c r="E26" s="40">
        <f t="shared" si="4"/>
        <v>79.5</v>
      </c>
      <c r="F26" s="30"/>
      <c r="H26" s="30"/>
      <c r="K26" s="31"/>
      <c r="L26" s="30"/>
    </row>
    <row r="27" spans="1:12" x14ac:dyDescent="0.3">
      <c r="A27" s="31">
        <v>7.5</v>
      </c>
      <c r="B27" s="8">
        <f>MROUND((('Saltire Fees 2024-25'!B27-3)*1.065+3),0.5)</f>
        <v>104.5</v>
      </c>
      <c r="C27" s="35">
        <f t="shared" si="3"/>
        <v>79</v>
      </c>
      <c r="D27" s="56">
        <f>MROUND((('Saltire Fees 2024-25'!D27-5)*1.065+5),0.5)</f>
        <v>104.5</v>
      </c>
      <c r="E27" s="40">
        <f t="shared" si="4"/>
        <v>79.5</v>
      </c>
      <c r="H27" s="30"/>
      <c r="K27" s="31"/>
      <c r="L27" s="30"/>
    </row>
    <row r="28" spans="1:12" x14ac:dyDescent="0.3">
      <c r="A28" s="31">
        <v>7.75</v>
      </c>
      <c r="B28" s="8">
        <f>MROUND((('Saltire Fees 2024-25'!B28-3)*1.065+3),0.5)</f>
        <v>106</v>
      </c>
      <c r="C28" s="35">
        <f t="shared" si="3"/>
        <v>80.5</v>
      </c>
      <c r="D28" s="56">
        <f>MROUND((('Saltire Fees 2024-25'!D28-5)*1.065+5),0.5)</f>
        <v>105</v>
      </c>
      <c r="E28" s="40">
        <f t="shared" si="4"/>
        <v>80</v>
      </c>
      <c r="H28" s="30"/>
      <c r="K28" s="31"/>
      <c r="L28" s="30"/>
    </row>
    <row r="29" spans="1:12" x14ac:dyDescent="0.3">
      <c r="A29" s="31">
        <v>8</v>
      </c>
      <c r="B29" s="8">
        <f>MROUND((('Saltire Fees 2024-25'!B29-3)*1.065+3),0.5)</f>
        <v>107.5</v>
      </c>
      <c r="C29" s="35">
        <f t="shared" si="3"/>
        <v>81.5</v>
      </c>
      <c r="D29" s="56">
        <f>MROUND((('Saltire Fees 2024-25'!D29-5)*1.065+5),0.5)</f>
        <v>108</v>
      </c>
      <c r="E29" s="40">
        <f t="shared" si="4"/>
        <v>82.5</v>
      </c>
      <c r="H29" s="30"/>
      <c r="K29" s="31"/>
      <c r="L29" s="30"/>
    </row>
    <row r="30" spans="1:12" x14ac:dyDescent="0.3">
      <c r="A30" s="31">
        <v>8.25</v>
      </c>
      <c r="B30" s="8">
        <f>MROUND((('Saltire Fees 2024-25'!B30-3)*1.065+3),0.5)</f>
        <v>108.5</v>
      </c>
      <c r="C30" s="35">
        <f t="shared" si="3"/>
        <v>82</v>
      </c>
      <c r="D30" s="56">
        <f>MROUND((('Saltire Fees 2024-25'!D30-5)*1.065+5),0.5)</f>
        <v>110</v>
      </c>
      <c r="E30" s="40">
        <f t="shared" si="4"/>
        <v>84</v>
      </c>
      <c r="H30" s="30"/>
      <c r="K30" s="31"/>
      <c r="L30" s="30"/>
    </row>
    <row r="31" spans="1:12" x14ac:dyDescent="0.3">
      <c r="A31" s="31">
        <v>8.5</v>
      </c>
      <c r="B31" s="8">
        <f>MROUND((('Saltire Fees 2024-25'!B31-3)*1.065+3),0.5)</f>
        <v>111</v>
      </c>
      <c r="C31" s="35">
        <f t="shared" si="3"/>
        <v>84</v>
      </c>
      <c r="D31" s="56">
        <f>MROUND((('Saltire Fees 2024-25'!D31-5)*1.065+5),0.5)</f>
        <v>111</v>
      </c>
      <c r="E31" s="40">
        <f t="shared" si="4"/>
        <v>84.5</v>
      </c>
      <c r="H31" s="30"/>
      <c r="K31" s="31"/>
      <c r="L31" s="30"/>
    </row>
    <row r="32" spans="1:12" x14ac:dyDescent="0.3">
      <c r="A32" s="31">
        <v>8.75</v>
      </c>
      <c r="B32" s="8">
        <f>MROUND((('Saltire Fees 2024-25'!B32-3)*1.065+3),0.5)</f>
        <v>112.5</v>
      </c>
      <c r="C32" s="35">
        <f t="shared" si="3"/>
        <v>85</v>
      </c>
      <c r="D32" s="56">
        <f>MROUND((('Saltire Fees 2024-25'!D32-5)*1.065+5),0.5)</f>
        <v>113.5</v>
      </c>
      <c r="E32" s="40">
        <f t="shared" si="4"/>
        <v>86.5</v>
      </c>
      <c r="H32" s="30"/>
      <c r="K32" s="31"/>
      <c r="L32" s="30"/>
    </row>
    <row r="33" spans="1:12" x14ac:dyDescent="0.3">
      <c r="A33" s="31">
        <v>9</v>
      </c>
      <c r="B33" s="8">
        <f>MROUND((('Saltire Fees 2024-25'!B33-3)*1.065+3),0.5)</f>
        <v>114.5</v>
      </c>
      <c r="C33" s="35">
        <f t="shared" si="3"/>
        <v>86.5</v>
      </c>
      <c r="D33" s="56">
        <f>MROUND((('Saltire Fees 2024-25'!D33-5)*1.065+5),0.5)</f>
        <v>114.5</v>
      </c>
      <c r="E33" s="40">
        <f t="shared" si="4"/>
        <v>87</v>
      </c>
      <c r="H33" s="30"/>
      <c r="K33" s="31"/>
      <c r="L33" s="30"/>
    </row>
    <row r="34" spans="1:12" x14ac:dyDescent="0.3">
      <c r="A34" s="31">
        <v>9.25</v>
      </c>
      <c r="B34" s="8">
        <f>MROUND((('Saltire Fees 2024-25'!B34-3)*1.065+3),0.5)</f>
        <v>115</v>
      </c>
      <c r="C34" s="35">
        <f t="shared" si="3"/>
        <v>87</v>
      </c>
      <c r="D34" s="56">
        <f>MROUND((('Saltire Fees 2024-25'!D34-5)*1.065+5),0.5)</f>
        <v>115</v>
      </c>
      <c r="E34" s="40">
        <f t="shared" si="4"/>
        <v>87.5</v>
      </c>
      <c r="H34" s="30"/>
      <c r="K34" s="31"/>
      <c r="L34" s="30"/>
    </row>
    <row r="35" spans="1:12" x14ac:dyDescent="0.3">
      <c r="A35" s="31">
        <v>9.5</v>
      </c>
      <c r="B35" s="8">
        <f>MROUND((('Saltire Fees 2024-25'!B35-3)*1.065+3),0.5)+1</f>
        <v>116</v>
      </c>
      <c r="C35" s="35">
        <f t="shared" si="3"/>
        <v>88</v>
      </c>
      <c r="D35" s="56">
        <f>MROUND((('Saltire Fees 2024-25'!D35-5)*1.065+5),0.5)</f>
        <v>116.5</v>
      </c>
      <c r="E35" s="40">
        <f t="shared" si="4"/>
        <v>88.5</v>
      </c>
      <c r="H35" s="30"/>
      <c r="K35" s="31"/>
      <c r="L35" s="30"/>
    </row>
    <row r="36" spans="1:12" x14ac:dyDescent="0.3">
      <c r="A36" s="31">
        <v>9.75</v>
      </c>
      <c r="B36" s="8">
        <f>MROUND((('Saltire Fees 2024-25'!B36-3)*1.065+3),0.5)+1</f>
        <v>116.5</v>
      </c>
      <c r="C36" s="35">
        <f>MROUND(((B36-3)-((B36-3)*0.25)+3),0.5)+0.5</f>
        <v>88.5</v>
      </c>
      <c r="D36" s="56">
        <f>MROUND((('Saltire Fees 2024-25'!D36-5)*1.065+5),0.5)</f>
        <v>117</v>
      </c>
      <c r="E36" s="40">
        <f t="shared" si="4"/>
        <v>89</v>
      </c>
      <c r="H36" s="30"/>
      <c r="K36" s="31"/>
      <c r="L36" s="30"/>
    </row>
    <row r="37" spans="1:12" x14ac:dyDescent="0.3">
      <c r="A37" s="31">
        <v>10</v>
      </c>
      <c r="B37" s="8">
        <f>MROUND((('Saltire Fees 2024-25'!B37-3)*1.065+3),0.5)</f>
        <v>117.5</v>
      </c>
      <c r="C37" s="35">
        <f t="shared" si="3"/>
        <v>89</v>
      </c>
      <c r="D37" s="56">
        <f>MROUND((('Saltire Fees 2024-25'!D37-5)*1.065+5),0.5)</f>
        <v>117.5</v>
      </c>
      <c r="E37" s="40">
        <f t="shared" si="4"/>
        <v>89.5</v>
      </c>
      <c r="H37" s="30"/>
      <c r="K37" s="31"/>
      <c r="L37" s="30"/>
    </row>
    <row r="38" spans="1:12" x14ac:dyDescent="0.3">
      <c r="A38" s="31">
        <v>10.25</v>
      </c>
      <c r="B38" s="8">
        <f>MROUND((('Saltire Fees 2024-25'!B38-3)*1.065+3),0.5)</f>
        <v>118</v>
      </c>
      <c r="C38" s="35">
        <f t="shared" si="3"/>
        <v>89.5</v>
      </c>
      <c r="D38" s="56">
        <f>MROUND((('Saltire Fees 2024-25'!D38-5)*1.065+5),0.5)</f>
        <v>118</v>
      </c>
      <c r="E38" s="40">
        <f t="shared" si="4"/>
        <v>90</v>
      </c>
      <c r="H38" s="30"/>
      <c r="K38" s="31"/>
      <c r="L38" s="30"/>
    </row>
    <row r="39" spans="1:12" x14ac:dyDescent="0.3">
      <c r="A39" s="31">
        <v>10.5</v>
      </c>
      <c r="B39" s="8">
        <f>MROUND((('Saltire Fees 2024-25'!B39-3)*1.065+3),0.5)</f>
        <v>118.5</v>
      </c>
      <c r="C39" s="35">
        <f t="shared" si="3"/>
        <v>89.5</v>
      </c>
      <c r="D39" s="56">
        <f>MROUND((('Saltire Fees 2024-25'!D39-5)*1.065+5),0.5)</f>
        <v>118.5</v>
      </c>
      <c r="E39" s="40">
        <f t="shared" si="4"/>
        <v>90</v>
      </c>
      <c r="H39" s="30"/>
      <c r="K39" s="31"/>
      <c r="L39" s="30"/>
    </row>
    <row r="40" spans="1:12" x14ac:dyDescent="0.3">
      <c r="A40" s="31">
        <v>10.75</v>
      </c>
      <c r="B40" s="8">
        <f>MROUND((('Saltire Fees 2024-25'!B40-3)*1.065+3),0.5)</f>
        <v>119.5</v>
      </c>
      <c r="C40" s="35">
        <f t="shared" si="3"/>
        <v>90.5</v>
      </c>
      <c r="D40" s="56">
        <f>MROUND((('Saltire Fees 2024-25'!D40-5)*1.065+5),0.5)</f>
        <v>120</v>
      </c>
      <c r="E40" s="40">
        <f t="shared" si="4"/>
        <v>91.5</v>
      </c>
      <c r="H40" s="30"/>
      <c r="K40" s="31"/>
      <c r="L40" s="30"/>
    </row>
    <row r="41" spans="1:12" x14ac:dyDescent="0.3">
      <c r="A41" s="31">
        <v>11</v>
      </c>
      <c r="B41" s="8">
        <f>MROUND((('Saltire Fees 2024-25'!B41-3)*1.065+3),0.5)</f>
        <v>120.5</v>
      </c>
      <c r="C41" s="35">
        <f t="shared" si="3"/>
        <v>91</v>
      </c>
      <c r="D41" s="56">
        <f>MROUND((('Saltire Fees 2024-25'!D41-5)*1.065+5),0.5)</f>
        <v>121</v>
      </c>
      <c r="E41" s="40">
        <f t="shared" si="4"/>
        <v>92</v>
      </c>
      <c r="H41" s="30"/>
      <c r="K41" s="31"/>
      <c r="L41" s="30"/>
    </row>
    <row r="42" spans="1:12" x14ac:dyDescent="0.3">
      <c r="A42" s="31">
        <v>11.5</v>
      </c>
      <c r="B42" s="8">
        <f>MROUND((('Saltire Fees 2024-25'!B42-3)*1.065+3),0.5)</f>
        <v>122.5</v>
      </c>
      <c r="C42" s="35">
        <f t="shared" si="3"/>
        <v>92.5</v>
      </c>
      <c r="D42" s="56">
        <f>MROUND((('Saltire Fees 2024-25'!D42-5)*1.065+5),0.5)</f>
        <v>122</v>
      </c>
      <c r="E42" s="40">
        <f t="shared" si="4"/>
        <v>93</v>
      </c>
      <c r="H42" s="30"/>
      <c r="K42" s="31"/>
      <c r="L42" s="30"/>
    </row>
    <row r="43" spans="1:12" x14ac:dyDescent="0.3">
      <c r="A43" s="31">
        <v>11.75</v>
      </c>
      <c r="B43" s="8">
        <f>MROUND((('Saltire Fees 2024-25'!B43-3)*1.065+3),0.5)</f>
        <v>123</v>
      </c>
      <c r="C43" s="35">
        <f t="shared" si="3"/>
        <v>93</v>
      </c>
      <c r="D43" s="56">
        <f>MROUND((('Saltire Fees 2024-25'!D43-5)*1.065+5),0.5)</f>
        <v>122.5</v>
      </c>
      <c r="E43" s="40">
        <f t="shared" si="4"/>
        <v>93</v>
      </c>
      <c r="H43" s="30"/>
      <c r="K43" s="31"/>
      <c r="L43" s="30"/>
    </row>
    <row r="44" spans="1:12" x14ac:dyDescent="0.3">
      <c r="A44" s="31">
        <v>12</v>
      </c>
      <c r="B44" s="8">
        <f>MROUND((('Saltire Fees 2024-25'!B44-3)*1.065+3),0.5)</f>
        <v>124</v>
      </c>
      <c r="C44" s="35">
        <f t="shared" si="3"/>
        <v>94</v>
      </c>
      <c r="D44" s="56">
        <f>MROUND((('Saltire Fees 2024-25'!D44-5)*1.065+5),0.5)</f>
        <v>123.5</v>
      </c>
      <c r="E44" s="40">
        <f t="shared" si="4"/>
        <v>94</v>
      </c>
      <c r="H44" s="30"/>
      <c r="K44" s="31"/>
      <c r="L44" s="30"/>
    </row>
    <row r="45" spans="1:12" x14ac:dyDescent="0.3">
      <c r="A45" s="31">
        <v>12.25</v>
      </c>
      <c r="B45" s="8">
        <f>MROUND((('Saltire Fees 2024-25'!B45-3)*1.065+3),0.5)</f>
        <v>125</v>
      </c>
      <c r="C45" s="35">
        <f t="shared" si="3"/>
        <v>94.5</v>
      </c>
      <c r="D45" s="56">
        <f>MROUND((('Saltire Fees 2024-25'!D45-5)*1.065+5),0.5)</f>
        <v>125.5</v>
      </c>
      <c r="E45" s="40">
        <f t="shared" si="4"/>
        <v>95.5</v>
      </c>
      <c r="H45" s="30"/>
      <c r="K45" s="31"/>
      <c r="L45" s="30"/>
    </row>
    <row r="46" spans="1:12" x14ac:dyDescent="0.3">
      <c r="A46" s="31">
        <v>12.5</v>
      </c>
      <c r="B46" s="8">
        <f>MROUND((('Saltire Fees 2024-25'!B46-3)*1.065+3),0.5)</f>
        <v>126</v>
      </c>
      <c r="C46" s="35">
        <f t="shared" si="3"/>
        <v>95.5</v>
      </c>
      <c r="D46" s="56">
        <f>MROUND((('Saltire Fees 2024-25'!D46-5)*1.065+5),0.5)</f>
        <v>126</v>
      </c>
      <c r="E46" s="40">
        <f t="shared" si="4"/>
        <v>96</v>
      </c>
      <c r="H46" s="30"/>
      <c r="K46" s="31"/>
      <c r="L46" s="30"/>
    </row>
    <row r="47" spans="1:12" x14ac:dyDescent="0.3">
      <c r="A47" s="31">
        <v>13</v>
      </c>
      <c r="B47" s="8">
        <f>MROUND((('Saltire Fees 2024-25'!B47-3)*1.065+3),0.5)</f>
        <v>127</v>
      </c>
      <c r="C47" s="35">
        <f t="shared" si="3"/>
        <v>96</v>
      </c>
      <c r="D47" s="56">
        <f>MROUND((('Saltire Fees 2024-25'!D47-5)*1.065+5),0.5)</f>
        <v>127.5</v>
      </c>
      <c r="E47" s="40">
        <f t="shared" si="4"/>
        <v>97</v>
      </c>
      <c r="H47" s="30"/>
      <c r="K47" s="31"/>
      <c r="L47" s="30"/>
    </row>
    <row r="48" spans="1:12" x14ac:dyDescent="0.3">
      <c r="A48" s="31">
        <v>14</v>
      </c>
      <c r="B48" s="8">
        <f>MROUND((('Saltire Fees 2024-25'!B48-3)*1.065+3),0.5)</f>
        <v>128</v>
      </c>
      <c r="C48" s="35">
        <f t="shared" si="3"/>
        <v>97</v>
      </c>
      <c r="D48" s="56">
        <f>MROUND((('Saltire Fees 2024-25'!D48-5)*1.065+5),0.5)</f>
        <v>128.5</v>
      </c>
      <c r="E48" s="40">
        <f t="shared" si="4"/>
        <v>97.5</v>
      </c>
      <c r="H48" s="30"/>
      <c r="K48" s="31"/>
      <c r="L48" s="30"/>
    </row>
    <row r="49" spans="1:12" x14ac:dyDescent="0.3">
      <c r="A49" s="31">
        <v>15</v>
      </c>
      <c r="B49" s="8">
        <f>MROUND((('Saltire Fees 2024-25'!B49-3)*1.065+3),0.5)</f>
        <v>132.5</v>
      </c>
      <c r="C49" s="35">
        <f t="shared" si="3"/>
        <v>100</v>
      </c>
      <c r="D49" s="56">
        <f>MROUND((('Saltire Fees 2024-25'!D49-5)*1.065+5),0.5)</f>
        <v>132.5</v>
      </c>
      <c r="E49" s="40">
        <f t="shared" si="4"/>
        <v>100.5</v>
      </c>
      <c r="H49" s="30"/>
      <c r="K49" s="31"/>
      <c r="L49" s="30"/>
    </row>
    <row r="50" spans="1:12" ht="13.8" x14ac:dyDescent="0.25">
      <c r="B50" s="35"/>
      <c r="C50" s="35"/>
      <c r="D50" s="40"/>
      <c r="E50" s="40"/>
      <c r="K50" s="31"/>
    </row>
    <row r="51" spans="1:12" ht="13.8" x14ac:dyDescent="0.25">
      <c r="B51" s="35"/>
      <c r="C51" s="35"/>
      <c r="D51" s="40"/>
      <c r="E51" s="40"/>
      <c r="K51" s="31"/>
    </row>
    <row r="52" spans="1:12" ht="13.8" x14ac:dyDescent="0.25">
      <c r="A52" s="31" t="s">
        <v>38</v>
      </c>
      <c r="K52" s="31"/>
    </row>
    <row r="53" spans="1:12" ht="13.8" x14ac:dyDescent="0.25">
      <c r="A53" s="31" t="s">
        <v>39</v>
      </c>
      <c r="K53" s="31"/>
    </row>
    <row r="55" spans="1:12" ht="13.8" x14ac:dyDescent="0.25">
      <c r="D55" s="37"/>
      <c r="E55" s="37"/>
      <c r="K55" s="31"/>
    </row>
    <row r="56" spans="1:12" ht="13.8" x14ac:dyDescent="0.25">
      <c r="D56" s="37"/>
      <c r="E56" s="37"/>
      <c r="K56" s="31"/>
    </row>
  </sheetData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  <ignoredErrors>
    <ignoredError sqref="C3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S31"/>
  <sheetViews>
    <sheetView zoomScaleNormal="100" workbookViewId="0">
      <selection activeCell="E6" sqref="E6"/>
    </sheetView>
  </sheetViews>
  <sheetFormatPr defaultColWidth="8.77734375" defaultRowHeight="14.4" x14ac:dyDescent="0.3"/>
  <cols>
    <col min="1" max="1" width="17.6640625" customWidth="1"/>
    <col min="2" max="2" width="10" bestFit="1" customWidth="1"/>
    <col min="3" max="3" width="13.109375" bestFit="1" customWidth="1"/>
    <col min="4" max="4" width="13.109375" customWidth="1"/>
    <col min="5" max="5" width="17.44140625" style="2" customWidth="1"/>
    <col min="6" max="6" width="12.77734375" style="2" customWidth="1"/>
    <col min="7" max="7" width="14.44140625" style="2" customWidth="1"/>
    <col min="8" max="8" width="20.44140625" customWidth="1"/>
    <col min="9" max="9" width="11.44140625" customWidth="1"/>
    <col min="10" max="10" width="12" customWidth="1"/>
    <col min="11" max="11" width="12.44140625" customWidth="1"/>
    <col min="12" max="12" width="18.109375" customWidth="1"/>
    <col min="13" max="13" width="13.77734375" customWidth="1"/>
    <col min="14" max="14" width="10.44140625" customWidth="1"/>
  </cols>
  <sheetData>
    <row r="1" spans="1:19" ht="21" x14ac:dyDescent="0.4">
      <c r="A1" s="1" t="s">
        <v>12</v>
      </c>
    </row>
    <row r="2" spans="1:19" ht="21" x14ac:dyDescent="0.4">
      <c r="A2" s="1"/>
    </row>
    <row r="3" spans="1:19" ht="21" x14ac:dyDescent="0.4">
      <c r="A3" s="1" t="s">
        <v>17</v>
      </c>
      <c r="H3" s="1" t="s">
        <v>19</v>
      </c>
    </row>
    <row r="4" spans="1:19" ht="53.25" customHeight="1" x14ac:dyDescent="0.3">
      <c r="A4" s="3" t="s">
        <v>0</v>
      </c>
      <c r="B4" s="16" t="s">
        <v>1</v>
      </c>
      <c r="C4" s="16" t="s">
        <v>2</v>
      </c>
      <c r="D4" s="16" t="s">
        <v>3</v>
      </c>
      <c r="E4" s="4" t="s">
        <v>15</v>
      </c>
      <c r="F4" s="5" t="s">
        <v>16</v>
      </c>
      <c r="G4" s="4"/>
      <c r="H4" s="3" t="s">
        <v>0</v>
      </c>
      <c r="I4" s="16" t="s">
        <v>1</v>
      </c>
      <c r="J4" s="16" t="s">
        <v>2</v>
      </c>
      <c r="K4" s="16" t="s">
        <v>3</v>
      </c>
      <c r="L4" s="4" t="s">
        <v>15</v>
      </c>
      <c r="M4" s="5" t="s">
        <v>16</v>
      </c>
      <c r="N4" s="20" t="s">
        <v>20</v>
      </c>
      <c r="O4" s="6"/>
    </row>
    <row r="5" spans="1:19" x14ac:dyDescent="0.3">
      <c r="A5" s="3"/>
      <c r="B5" s="3"/>
      <c r="C5" s="3"/>
      <c r="D5" s="3"/>
      <c r="E5" s="4"/>
      <c r="F5" s="5"/>
      <c r="G5" s="4"/>
      <c r="H5" s="4"/>
      <c r="N5" s="6"/>
      <c r="O5" s="6"/>
    </row>
    <row r="6" spans="1:19" x14ac:dyDescent="0.3">
      <c r="A6" s="15">
        <v>0.75</v>
      </c>
      <c r="B6" s="13">
        <f>6*1.05</f>
        <v>6.3000000000000007</v>
      </c>
      <c r="C6" s="2">
        <f t="shared" ref="C6" si="0">B6*A6</f>
        <v>4.7250000000000005</v>
      </c>
      <c r="D6" s="7">
        <f>ROUND((C6*42/12),0)</f>
        <v>17</v>
      </c>
      <c r="E6" s="2">
        <v>1</v>
      </c>
      <c r="F6" s="8">
        <f t="shared" ref="F6" si="1">D6+E6</f>
        <v>18</v>
      </c>
      <c r="G6" s="14"/>
      <c r="H6" s="18">
        <v>1</v>
      </c>
      <c r="I6" s="2">
        <f>5.25*1.05</f>
        <v>5.5125000000000002</v>
      </c>
      <c r="J6" s="2">
        <f>I6*H6</f>
        <v>5.5125000000000002</v>
      </c>
      <c r="K6" s="17">
        <f>ROUND((J6*48/12),0)</f>
        <v>22</v>
      </c>
      <c r="L6">
        <v>2</v>
      </c>
      <c r="M6" s="2">
        <f>L6+K6</f>
        <v>24</v>
      </c>
      <c r="N6" s="19">
        <v>7</v>
      </c>
      <c r="O6" s="6"/>
    </row>
    <row r="7" spans="1:19" x14ac:dyDescent="0.3">
      <c r="B7" s="2"/>
      <c r="C7" s="2"/>
      <c r="D7" s="7"/>
      <c r="F7" s="8"/>
      <c r="H7" s="11">
        <v>1.5</v>
      </c>
      <c r="I7" s="2">
        <f>5.25*1.05</f>
        <v>5.5125000000000002</v>
      </c>
      <c r="J7" s="2">
        <f t="shared" ref="J7" si="2">I7*H7</f>
        <v>8.2687500000000007</v>
      </c>
      <c r="K7" s="17">
        <f t="shared" ref="K7" si="3">ROUND((J7*48/12),0)</f>
        <v>33</v>
      </c>
      <c r="L7">
        <v>2</v>
      </c>
      <c r="M7" s="2">
        <f>L7+K7</f>
        <v>35</v>
      </c>
      <c r="N7" s="19">
        <v>9</v>
      </c>
      <c r="O7" s="6"/>
    </row>
    <row r="8" spans="1:19" x14ac:dyDescent="0.3">
      <c r="B8" s="2"/>
      <c r="C8" s="2"/>
      <c r="D8" s="7"/>
      <c r="H8" s="11"/>
      <c r="I8" s="2"/>
      <c r="J8" s="2"/>
      <c r="K8" s="17"/>
      <c r="M8" s="2"/>
      <c r="N8" s="19"/>
    </row>
    <row r="9" spans="1:19" ht="15.6" x14ac:dyDescent="0.3">
      <c r="B9" s="2"/>
      <c r="C9" s="2"/>
      <c r="D9" s="7"/>
      <c r="H9" s="11"/>
      <c r="I9" s="2"/>
      <c r="J9" s="2"/>
      <c r="K9" s="17"/>
      <c r="M9" s="2"/>
      <c r="N9" s="19"/>
      <c r="S9" s="9"/>
    </row>
    <row r="10" spans="1:19" ht="15.6" x14ac:dyDescent="0.3">
      <c r="A10" t="s">
        <v>21</v>
      </c>
      <c r="B10" s="2"/>
      <c r="C10" s="2"/>
      <c r="D10" s="7"/>
      <c r="H10" t="s">
        <v>8</v>
      </c>
      <c r="I10" s="2"/>
      <c r="J10" s="2"/>
      <c r="K10" s="17"/>
      <c r="M10" s="2"/>
      <c r="N10" s="19"/>
      <c r="S10" s="9"/>
    </row>
    <row r="11" spans="1:19" ht="15.6" x14ac:dyDescent="0.3">
      <c r="B11" s="2"/>
      <c r="C11" s="2"/>
      <c r="D11" s="7"/>
      <c r="I11" s="2"/>
      <c r="J11" s="2"/>
      <c r="K11" s="17"/>
      <c r="M11" s="2"/>
      <c r="N11" s="19"/>
      <c r="S11" s="9"/>
    </row>
    <row r="12" spans="1:19" ht="21" x14ac:dyDescent="0.4">
      <c r="A12" s="1" t="s">
        <v>18</v>
      </c>
      <c r="B12" s="2"/>
      <c r="C12" s="2"/>
      <c r="D12" s="17"/>
      <c r="H12" s="27" t="s">
        <v>22</v>
      </c>
    </row>
    <row r="13" spans="1:19" x14ac:dyDescent="0.3">
      <c r="B13" s="2"/>
      <c r="C13" s="2"/>
      <c r="D13" s="17"/>
      <c r="H13" s="2"/>
    </row>
    <row r="14" spans="1:19" x14ac:dyDescent="0.3">
      <c r="A14">
        <v>1</v>
      </c>
      <c r="B14" s="2">
        <f>5.25*1.05</f>
        <v>5.5125000000000002</v>
      </c>
      <c r="C14" s="2">
        <f t="shared" ref="C14:C18" si="4">B14*A14</f>
        <v>5.5125000000000002</v>
      </c>
      <c r="D14" s="17">
        <f>ROUND((C14*42/12),0)</f>
        <v>19</v>
      </c>
      <c r="E14" s="2">
        <v>2</v>
      </c>
      <c r="F14" s="8">
        <f t="shared" ref="F14:F18" si="5">D14+E14</f>
        <v>21</v>
      </c>
      <c r="H14">
        <v>1</v>
      </c>
      <c r="I14" s="2">
        <v>8</v>
      </c>
      <c r="J14" s="2">
        <f t="shared" ref="J14:J15" si="6">I14*H14</f>
        <v>8</v>
      </c>
      <c r="K14" s="17">
        <f>ROUND((J14*42/12),0)</f>
        <v>28</v>
      </c>
      <c r="L14" s="2">
        <v>2</v>
      </c>
      <c r="M14" s="8">
        <f t="shared" ref="M14:M15" si="7">K14+L14</f>
        <v>30</v>
      </c>
    </row>
    <row r="15" spans="1:19" x14ac:dyDescent="0.3">
      <c r="A15">
        <v>1.5</v>
      </c>
      <c r="B15" s="2">
        <f>5.25*1.05</f>
        <v>5.5125000000000002</v>
      </c>
      <c r="C15" s="2">
        <f t="shared" si="4"/>
        <v>8.2687500000000007</v>
      </c>
      <c r="D15" s="17">
        <f t="shared" ref="D15:D18" si="8">ROUND((C15*42/12),0)</f>
        <v>29</v>
      </c>
      <c r="E15" s="2">
        <v>2</v>
      </c>
      <c r="F15" s="8">
        <f t="shared" si="5"/>
        <v>31</v>
      </c>
      <c r="H15">
        <v>1.5</v>
      </c>
      <c r="I15" s="2">
        <v>8</v>
      </c>
      <c r="J15" s="2">
        <f t="shared" si="6"/>
        <v>12</v>
      </c>
      <c r="K15" s="17">
        <f t="shared" ref="K15" si="9">ROUND((J15*42/12),0)</f>
        <v>42</v>
      </c>
      <c r="L15" s="2">
        <v>2</v>
      </c>
      <c r="M15" s="8">
        <f t="shared" si="7"/>
        <v>44</v>
      </c>
    </row>
    <row r="16" spans="1:19" x14ac:dyDescent="0.3">
      <c r="A16">
        <v>2</v>
      </c>
      <c r="B16" s="2">
        <f>4.725*1.05</f>
        <v>4.9612499999999997</v>
      </c>
      <c r="C16" s="2">
        <f t="shared" si="4"/>
        <v>9.9224999999999994</v>
      </c>
      <c r="D16" s="17">
        <f t="shared" si="8"/>
        <v>35</v>
      </c>
      <c r="E16" s="2">
        <v>2</v>
      </c>
      <c r="F16" s="8">
        <f t="shared" si="5"/>
        <v>37</v>
      </c>
      <c r="H16" s="2"/>
      <c r="K16" s="12"/>
    </row>
    <row r="17" spans="1:8" x14ac:dyDescent="0.3">
      <c r="A17">
        <v>2.5</v>
      </c>
      <c r="B17" s="2">
        <f>4.2*1.05</f>
        <v>4.41</v>
      </c>
      <c r="C17" s="2">
        <f t="shared" si="4"/>
        <v>11.025</v>
      </c>
      <c r="D17" s="17">
        <f t="shared" si="8"/>
        <v>39</v>
      </c>
      <c r="E17" s="2">
        <v>2</v>
      </c>
      <c r="F17" s="8">
        <f t="shared" si="5"/>
        <v>41</v>
      </c>
      <c r="H17" s="2"/>
    </row>
    <row r="18" spans="1:8" x14ac:dyDescent="0.3">
      <c r="A18">
        <v>3</v>
      </c>
      <c r="B18" s="2">
        <f>4.2*1.05</f>
        <v>4.41</v>
      </c>
      <c r="C18" s="2">
        <f t="shared" si="4"/>
        <v>13.23</v>
      </c>
      <c r="D18" s="17">
        <f t="shared" si="8"/>
        <v>46</v>
      </c>
      <c r="E18" s="2">
        <v>2</v>
      </c>
      <c r="F18" s="8">
        <f t="shared" si="5"/>
        <v>48</v>
      </c>
      <c r="H18" s="2"/>
    </row>
    <row r="19" spans="1:8" x14ac:dyDescent="0.3">
      <c r="B19" s="2"/>
      <c r="C19" s="2"/>
      <c r="D19" s="7"/>
      <c r="H19" s="2"/>
    </row>
    <row r="20" spans="1:8" x14ac:dyDescent="0.3">
      <c r="B20" s="2"/>
      <c r="C20" s="2"/>
      <c r="D20" s="7"/>
      <c r="H20" s="2"/>
    </row>
    <row r="21" spans="1:8" x14ac:dyDescent="0.3">
      <c r="B21" s="2"/>
      <c r="C21" s="2"/>
      <c r="D21" s="7"/>
      <c r="H21" s="2"/>
    </row>
    <row r="22" spans="1:8" x14ac:dyDescent="0.3">
      <c r="B22" s="2"/>
      <c r="C22" s="2"/>
      <c r="D22" s="7"/>
      <c r="H22" s="2"/>
    </row>
    <row r="23" spans="1:8" x14ac:dyDescent="0.3">
      <c r="B23" s="2"/>
      <c r="C23" s="2"/>
      <c r="D23" s="7"/>
      <c r="H23" s="2"/>
    </row>
    <row r="24" spans="1:8" x14ac:dyDescent="0.3">
      <c r="B24" s="2"/>
      <c r="C24" s="2"/>
      <c r="D24" s="7"/>
      <c r="H24" s="2"/>
    </row>
    <row r="25" spans="1:8" x14ac:dyDescent="0.3">
      <c r="B25" s="2"/>
      <c r="C25" s="2"/>
      <c r="D25" s="7"/>
      <c r="H25" s="2"/>
    </row>
    <row r="26" spans="1:8" x14ac:dyDescent="0.3">
      <c r="B26" s="2"/>
      <c r="C26" s="2"/>
      <c r="D26" s="7"/>
      <c r="H26" s="2"/>
    </row>
    <row r="27" spans="1:8" x14ac:dyDescent="0.3">
      <c r="A27" t="s">
        <v>21</v>
      </c>
    </row>
    <row r="28" spans="1:8" x14ac:dyDescent="0.3">
      <c r="A28" t="s">
        <v>14</v>
      </c>
    </row>
    <row r="30" spans="1:8" x14ac:dyDescent="0.3">
      <c r="H30" s="11"/>
    </row>
    <row r="31" spans="1:8" x14ac:dyDescent="0.3">
      <c r="H31" s="11"/>
    </row>
  </sheetData>
  <hyperlinks>
    <hyperlink ref="D6" r:id="rId1" display="=@round((C3*42/12),0)" xr:uid="{00000000-0004-0000-0200-000000000000}"/>
    <hyperlink ref="D14" r:id="rId2" display="=@round((C3*42/12),0)" xr:uid="{00000000-0004-0000-0200-000001000000}"/>
    <hyperlink ref="D15:D18" r:id="rId3" display="=@round((C3*42/12),0)" xr:uid="{00000000-0004-0000-0200-000002000000}"/>
    <hyperlink ref="K6" r:id="rId4" display="=@round((C3*42/12),0)" xr:uid="{00000000-0004-0000-0200-000003000000}"/>
    <hyperlink ref="K7:K10" r:id="rId5" display="=@round((C3*42/12),0)" xr:uid="{00000000-0004-0000-0200-000004000000}"/>
    <hyperlink ref="K14" r:id="rId6" display="=@round((C3*42/12),0)" xr:uid="{59E29DDB-F0F3-49F6-8819-C2B59097DB03}"/>
    <hyperlink ref="K15" r:id="rId7" display="=@round((C3*42/12),0)" xr:uid="{5C6F272E-D64C-4966-95D8-9A1C4251B1CD}"/>
  </hyperlinks>
  <pageMargins left="0.70866141732283472" right="0.70866141732283472" top="0.74803149606299213" bottom="0.74803149606299213" header="0.31496062992125984" footer="0.31496062992125984"/>
  <pageSetup paperSize="9" scale="79" orientation="portrait" horizontalDpi="4294967293" verticalDpi="0"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S30"/>
  <sheetViews>
    <sheetView topLeftCell="C1" zoomScaleNormal="100" workbookViewId="0">
      <selection activeCell="M7" sqref="M7"/>
    </sheetView>
  </sheetViews>
  <sheetFormatPr defaultColWidth="8.77734375" defaultRowHeight="14.4" x14ac:dyDescent="0.3"/>
  <cols>
    <col min="1" max="1" width="17.6640625" customWidth="1"/>
    <col min="2" max="2" width="10" bestFit="1" customWidth="1"/>
    <col min="3" max="3" width="13.109375" bestFit="1" customWidth="1"/>
    <col min="4" max="4" width="13.109375" customWidth="1"/>
    <col min="5" max="5" width="17.44140625" style="2" customWidth="1"/>
    <col min="6" max="6" width="12.77734375" style="2" customWidth="1"/>
    <col min="7" max="7" width="14.44140625" style="2" customWidth="1"/>
    <col min="8" max="8" width="20.44140625" customWidth="1"/>
    <col min="9" max="9" width="11.44140625" customWidth="1"/>
    <col min="10" max="10" width="12" customWidth="1"/>
    <col min="11" max="11" width="12.44140625" customWidth="1"/>
    <col min="12" max="12" width="18.109375" customWidth="1"/>
    <col min="13" max="13" width="13.77734375" customWidth="1"/>
    <col min="14" max="14" width="10.44140625" customWidth="1"/>
  </cols>
  <sheetData>
    <row r="1" spans="1:19" ht="21" x14ac:dyDescent="0.4">
      <c r="A1" s="1" t="s">
        <v>11</v>
      </c>
    </row>
    <row r="2" spans="1:19" ht="21" x14ac:dyDescent="0.4">
      <c r="A2" s="1"/>
    </row>
    <row r="3" spans="1:19" ht="21" x14ac:dyDescent="0.4">
      <c r="A3" s="1" t="s">
        <v>17</v>
      </c>
      <c r="H3" s="1" t="s">
        <v>19</v>
      </c>
    </row>
    <row r="4" spans="1:19" ht="53.25" customHeight="1" x14ac:dyDescent="0.3">
      <c r="A4" s="3" t="s">
        <v>0</v>
      </c>
      <c r="B4" s="16" t="s">
        <v>1</v>
      </c>
      <c r="C4" s="16" t="s">
        <v>2</v>
      </c>
      <c r="D4" s="16" t="s">
        <v>3</v>
      </c>
      <c r="E4" s="4" t="s">
        <v>15</v>
      </c>
      <c r="F4" s="5" t="s">
        <v>16</v>
      </c>
      <c r="G4" s="4"/>
      <c r="H4" s="3" t="s">
        <v>0</v>
      </c>
      <c r="I4" s="16" t="s">
        <v>1</v>
      </c>
      <c r="J4" s="16" t="s">
        <v>2</v>
      </c>
      <c r="K4" s="16" t="s">
        <v>3</v>
      </c>
      <c r="L4" s="4" t="s">
        <v>15</v>
      </c>
      <c r="M4" s="5" t="s">
        <v>16</v>
      </c>
      <c r="N4" s="20" t="s">
        <v>20</v>
      </c>
      <c r="O4" s="6"/>
    </row>
    <row r="5" spans="1:19" x14ac:dyDescent="0.3">
      <c r="A5" s="3"/>
      <c r="B5" s="3"/>
      <c r="C5" s="3"/>
      <c r="D5" s="3"/>
      <c r="E5" s="4"/>
      <c r="F5" s="5"/>
      <c r="G5" s="4"/>
      <c r="H5" s="4"/>
      <c r="N5" s="6"/>
      <c r="O5" s="6"/>
    </row>
    <row r="6" spans="1:19" x14ac:dyDescent="0.3">
      <c r="A6" s="15">
        <v>0.75</v>
      </c>
      <c r="B6" s="13">
        <v>6</v>
      </c>
      <c r="C6" s="2">
        <f t="shared" ref="C6" si="0">B6*A6</f>
        <v>4.5</v>
      </c>
      <c r="D6" s="7">
        <f>ROUND((C6*42/12),0)</f>
        <v>16</v>
      </c>
      <c r="E6" s="2">
        <v>1</v>
      </c>
      <c r="F6" s="8">
        <f t="shared" ref="F6" si="1">D6+E6</f>
        <v>17</v>
      </c>
      <c r="G6" s="14"/>
      <c r="H6" s="18">
        <v>1</v>
      </c>
      <c r="I6" s="2">
        <v>5.25</v>
      </c>
      <c r="J6" s="2">
        <f>I6*H6</f>
        <v>5.25</v>
      </c>
      <c r="K6" s="17">
        <f>ROUND((J6*48/12),0)</f>
        <v>21</v>
      </c>
      <c r="L6">
        <v>2</v>
      </c>
      <c r="M6" s="2">
        <f>L6+K6</f>
        <v>23</v>
      </c>
      <c r="N6" s="19">
        <v>7</v>
      </c>
      <c r="O6" s="6"/>
    </row>
    <row r="7" spans="1:19" x14ac:dyDescent="0.3">
      <c r="B7" s="2"/>
      <c r="C7" s="2"/>
      <c r="D7" s="7"/>
      <c r="F7" s="8"/>
      <c r="H7" s="11">
        <v>1.5</v>
      </c>
      <c r="I7" s="2">
        <v>5.25</v>
      </c>
      <c r="J7" s="2">
        <f t="shared" ref="J7" si="2">I7*H7</f>
        <v>7.875</v>
      </c>
      <c r="K7" s="17">
        <f t="shared" ref="K7" si="3">ROUND((J7*48/12),0)</f>
        <v>32</v>
      </c>
      <c r="L7">
        <v>2</v>
      </c>
      <c r="M7" s="2">
        <f>L7+K7</f>
        <v>34</v>
      </c>
      <c r="N7" s="19">
        <v>9</v>
      </c>
      <c r="O7" s="6"/>
    </row>
    <row r="8" spans="1:19" x14ac:dyDescent="0.3">
      <c r="B8" s="2"/>
      <c r="C8" s="2"/>
      <c r="D8" s="7"/>
      <c r="H8" s="11"/>
      <c r="I8" s="2"/>
      <c r="J8" s="2"/>
      <c r="K8" s="17"/>
      <c r="M8" s="2"/>
      <c r="N8" s="19"/>
    </row>
    <row r="9" spans="1:19" ht="15.6" x14ac:dyDescent="0.3">
      <c r="B9" s="2"/>
      <c r="C9" s="2"/>
      <c r="D9" s="7"/>
      <c r="H9" s="11"/>
      <c r="I9" s="2"/>
      <c r="J9" s="2"/>
      <c r="K9" s="17"/>
      <c r="M9" s="2"/>
      <c r="N9" s="19"/>
      <c r="S9" s="9"/>
    </row>
    <row r="10" spans="1:19" ht="15.6" x14ac:dyDescent="0.3">
      <c r="A10" t="s">
        <v>21</v>
      </c>
      <c r="B10" s="2"/>
      <c r="C10" s="2"/>
      <c r="D10" s="7"/>
      <c r="H10" t="s">
        <v>8</v>
      </c>
      <c r="I10" s="2"/>
      <c r="J10" s="2"/>
      <c r="K10" s="17"/>
      <c r="M10" s="2"/>
      <c r="N10" s="19"/>
      <c r="S10" s="9"/>
    </row>
    <row r="11" spans="1:19" ht="21" x14ac:dyDescent="0.4">
      <c r="A11" s="1" t="s">
        <v>18</v>
      </c>
      <c r="B11" s="2"/>
      <c r="C11" s="2"/>
      <c r="D11" s="17"/>
      <c r="H11" s="11"/>
    </row>
    <row r="12" spans="1:19" x14ac:dyDescent="0.3">
      <c r="B12" s="2"/>
      <c r="C12" s="2"/>
      <c r="D12" s="17"/>
      <c r="H12" s="2"/>
    </row>
    <row r="13" spans="1:19" x14ac:dyDescent="0.3">
      <c r="A13">
        <v>1</v>
      </c>
      <c r="B13" s="2">
        <v>5.25</v>
      </c>
      <c r="C13" s="2">
        <f t="shared" ref="C13:C17" si="4">B13*A13</f>
        <v>5.25</v>
      </c>
      <c r="D13" s="17">
        <f>ROUND((C13*42/12),0)</f>
        <v>18</v>
      </c>
      <c r="E13" s="2">
        <v>2</v>
      </c>
      <c r="F13" s="8">
        <f t="shared" ref="F13:F17" si="5">D13+E13</f>
        <v>20</v>
      </c>
      <c r="H13" s="2"/>
    </row>
    <row r="14" spans="1:19" x14ac:dyDescent="0.3">
      <c r="A14">
        <v>1.5</v>
      </c>
      <c r="B14" s="2">
        <v>5.25</v>
      </c>
      <c r="C14" s="2">
        <f t="shared" si="4"/>
        <v>7.875</v>
      </c>
      <c r="D14" s="17">
        <f t="shared" ref="D14:D17" si="6">ROUND((C14*42/12),0)</f>
        <v>28</v>
      </c>
      <c r="E14" s="2">
        <v>2</v>
      </c>
      <c r="F14" s="8">
        <f t="shared" si="5"/>
        <v>30</v>
      </c>
      <c r="H14" s="2"/>
    </row>
    <row r="15" spans="1:19" x14ac:dyDescent="0.3">
      <c r="A15">
        <v>2</v>
      </c>
      <c r="B15" s="2">
        <v>4.7249999999999996</v>
      </c>
      <c r="C15" s="2">
        <f t="shared" si="4"/>
        <v>9.4499999999999993</v>
      </c>
      <c r="D15" s="17">
        <f t="shared" si="6"/>
        <v>33</v>
      </c>
      <c r="E15" s="2">
        <v>2</v>
      </c>
      <c r="F15" s="8">
        <f t="shared" si="5"/>
        <v>35</v>
      </c>
      <c r="H15" s="2"/>
      <c r="K15" s="12"/>
    </row>
    <row r="16" spans="1:19" x14ac:dyDescent="0.3">
      <c r="A16">
        <v>2.5</v>
      </c>
      <c r="B16" s="2">
        <v>4.2</v>
      </c>
      <c r="C16" s="2">
        <f t="shared" si="4"/>
        <v>10.5</v>
      </c>
      <c r="D16" s="17">
        <f t="shared" si="6"/>
        <v>37</v>
      </c>
      <c r="E16" s="2">
        <v>2</v>
      </c>
      <c r="F16" s="8">
        <f t="shared" si="5"/>
        <v>39</v>
      </c>
      <c r="H16" s="2"/>
    </row>
    <row r="17" spans="1:8" x14ac:dyDescent="0.3">
      <c r="A17">
        <v>3</v>
      </c>
      <c r="B17" s="2">
        <v>4.2</v>
      </c>
      <c r="C17" s="2">
        <f t="shared" si="4"/>
        <v>12.600000000000001</v>
      </c>
      <c r="D17" s="17">
        <f t="shared" si="6"/>
        <v>44</v>
      </c>
      <c r="E17" s="2">
        <v>2</v>
      </c>
      <c r="F17" s="8">
        <f t="shared" si="5"/>
        <v>46</v>
      </c>
      <c r="H17" s="2"/>
    </row>
    <row r="18" spans="1:8" x14ac:dyDescent="0.3">
      <c r="B18" s="2"/>
      <c r="C18" s="2"/>
      <c r="D18" s="7"/>
      <c r="H18" s="2"/>
    </row>
    <row r="19" spans="1:8" x14ac:dyDescent="0.3">
      <c r="B19" s="2"/>
      <c r="C19" s="2"/>
      <c r="D19" s="7"/>
      <c r="H19" s="2"/>
    </row>
    <row r="20" spans="1:8" x14ac:dyDescent="0.3">
      <c r="B20" s="2"/>
      <c r="C20" s="2"/>
      <c r="D20" s="7"/>
      <c r="H20" s="2"/>
    </row>
    <row r="21" spans="1:8" x14ac:dyDescent="0.3">
      <c r="B21" s="2"/>
      <c r="C21" s="2"/>
      <c r="D21" s="7"/>
      <c r="H21" s="2"/>
    </row>
    <row r="22" spans="1:8" x14ac:dyDescent="0.3">
      <c r="B22" s="2"/>
      <c r="C22" s="2"/>
      <c r="D22" s="7"/>
      <c r="H22" s="2"/>
    </row>
    <row r="23" spans="1:8" x14ac:dyDescent="0.3">
      <c r="B23" s="2"/>
      <c r="C23" s="2"/>
      <c r="D23" s="7"/>
      <c r="H23" s="2"/>
    </row>
    <row r="24" spans="1:8" x14ac:dyDescent="0.3">
      <c r="B24" s="2"/>
      <c r="C24" s="2"/>
      <c r="D24" s="7"/>
      <c r="H24" s="2"/>
    </row>
    <row r="25" spans="1:8" x14ac:dyDescent="0.3">
      <c r="B25" s="2"/>
      <c r="C25" s="2"/>
      <c r="D25" s="7"/>
      <c r="H25" s="2"/>
    </row>
    <row r="26" spans="1:8" x14ac:dyDescent="0.3">
      <c r="A26" t="s">
        <v>21</v>
      </c>
    </row>
    <row r="27" spans="1:8" x14ac:dyDescent="0.3">
      <c r="A27" t="s">
        <v>14</v>
      </c>
    </row>
    <row r="29" spans="1:8" x14ac:dyDescent="0.3">
      <c r="H29" s="11"/>
    </row>
    <row r="30" spans="1:8" x14ac:dyDescent="0.3">
      <c r="H30" s="11"/>
    </row>
  </sheetData>
  <hyperlinks>
    <hyperlink ref="D6" r:id="rId1" display="=@round((C3*42/12),0)" xr:uid="{00000000-0004-0000-0300-000000000000}"/>
    <hyperlink ref="D13" r:id="rId2" display="=@round((C3*42/12),0)" xr:uid="{00000000-0004-0000-0300-000001000000}"/>
    <hyperlink ref="D14:D17" r:id="rId3" display="=@round((C3*42/12),0)" xr:uid="{00000000-0004-0000-0300-000002000000}"/>
    <hyperlink ref="K6" r:id="rId4" display="=@round((C3*42/12),0)" xr:uid="{00000000-0004-0000-0300-000003000000}"/>
    <hyperlink ref="K7:K10" r:id="rId5" display="=@round((C3*42/12),0)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scale="79" orientation="portrait" horizontalDpi="4294967293" verticalDpi="0"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S33"/>
  <sheetViews>
    <sheetView topLeftCell="A7" zoomScale="85" zoomScaleNormal="85" workbookViewId="0">
      <selection activeCell="H26" sqref="H26"/>
    </sheetView>
  </sheetViews>
  <sheetFormatPr defaultColWidth="8.77734375" defaultRowHeight="14.4" x14ac:dyDescent="0.3"/>
  <cols>
    <col min="1" max="1" width="17.6640625" customWidth="1"/>
    <col min="2" max="2" width="10" bestFit="1" customWidth="1"/>
    <col min="3" max="3" width="13.109375" bestFit="1" customWidth="1"/>
    <col min="4" max="4" width="13.109375" customWidth="1"/>
    <col min="5" max="5" width="14.44140625" style="2" bestFit="1" customWidth="1"/>
    <col min="6" max="6" width="12.77734375" style="2" customWidth="1"/>
    <col min="7" max="7" width="14.44140625" style="2" customWidth="1"/>
    <col min="8" max="8" width="13.44140625" customWidth="1"/>
  </cols>
  <sheetData>
    <row r="1" spans="1:19" ht="21" x14ac:dyDescent="0.4">
      <c r="A1" s="1" t="s">
        <v>11</v>
      </c>
    </row>
    <row r="2" spans="1:19" ht="43.2" x14ac:dyDescent="0.3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4" t="s">
        <v>6</v>
      </c>
      <c r="H2" s="5" t="s">
        <v>7</v>
      </c>
      <c r="N2" s="6"/>
      <c r="O2" s="6"/>
    </row>
    <row r="3" spans="1:19" ht="15.6" x14ac:dyDescent="0.3">
      <c r="A3">
        <v>1</v>
      </c>
      <c r="B3" s="2">
        <f>'Saltire Fees 2016-17'!B3+('Saltire Fees 2016-17'!B3*0.05)</f>
        <v>5.25</v>
      </c>
      <c r="C3" s="2">
        <f t="shared" ref="C3:C24" si="0">B3*A3</f>
        <v>5.25</v>
      </c>
      <c r="D3" s="7">
        <f t="shared" ref="D3:D24" si="1">ROUND((C3*48/12),0)</f>
        <v>21</v>
      </c>
      <c r="E3" s="2">
        <v>2</v>
      </c>
      <c r="F3" s="8">
        <f t="shared" ref="F3:F24" si="2">D3+E3</f>
        <v>23</v>
      </c>
      <c r="G3" s="2">
        <v>4</v>
      </c>
      <c r="H3" s="8">
        <f t="shared" ref="H3:H24" si="3">D3+G3</f>
        <v>25</v>
      </c>
      <c r="I3" s="9"/>
      <c r="N3" s="6"/>
      <c r="O3" s="6"/>
    </row>
    <row r="4" spans="1:19" ht="15.6" x14ac:dyDescent="0.3">
      <c r="A4">
        <v>1.5</v>
      </c>
      <c r="B4" s="2">
        <f>'Saltire Fees 2016-17'!B4+('Saltire Fees 2016-17'!B4*0.05)</f>
        <v>5.25</v>
      </c>
      <c r="C4" s="2">
        <f t="shared" si="0"/>
        <v>7.875</v>
      </c>
      <c r="D4" s="7">
        <f t="shared" si="1"/>
        <v>32</v>
      </c>
      <c r="E4" s="2">
        <v>2</v>
      </c>
      <c r="F4" s="8">
        <f t="shared" si="2"/>
        <v>34</v>
      </c>
      <c r="G4" s="2">
        <v>4</v>
      </c>
      <c r="H4" s="8">
        <f t="shared" si="3"/>
        <v>36</v>
      </c>
      <c r="I4" s="10"/>
      <c r="N4" s="6"/>
    </row>
    <row r="5" spans="1:19" ht="15.6" x14ac:dyDescent="0.3">
      <c r="A5">
        <v>2</v>
      </c>
      <c r="B5" s="2">
        <f>'Saltire Fees 2016-17'!B5+('Saltire Fees 2016-17'!B5*0.05)</f>
        <v>4.7249999999999996</v>
      </c>
      <c r="C5" s="2">
        <f t="shared" si="0"/>
        <v>9.4499999999999993</v>
      </c>
      <c r="D5" s="7">
        <f t="shared" si="1"/>
        <v>38</v>
      </c>
      <c r="E5" s="2">
        <v>2</v>
      </c>
      <c r="F5" s="8">
        <f t="shared" si="2"/>
        <v>40</v>
      </c>
      <c r="G5" s="2">
        <v>4</v>
      </c>
      <c r="H5" s="8">
        <f t="shared" si="3"/>
        <v>42</v>
      </c>
      <c r="N5" s="6"/>
      <c r="S5" s="9"/>
    </row>
    <row r="6" spans="1:19" ht="15.6" x14ac:dyDescent="0.3">
      <c r="A6">
        <v>2.5</v>
      </c>
      <c r="B6" s="2">
        <f>'Saltire Fees 2016-17'!B6+('Saltire Fees 2016-17'!B6*0.05)</f>
        <v>4.2</v>
      </c>
      <c r="C6" s="2">
        <f t="shared" si="0"/>
        <v>10.5</v>
      </c>
      <c r="D6" s="7">
        <f t="shared" si="1"/>
        <v>42</v>
      </c>
      <c r="E6" s="2">
        <v>2</v>
      </c>
      <c r="F6" s="8">
        <f t="shared" si="2"/>
        <v>44</v>
      </c>
      <c r="G6" s="2">
        <v>4</v>
      </c>
      <c r="H6" s="8">
        <f t="shared" si="3"/>
        <v>46</v>
      </c>
      <c r="N6" s="6"/>
      <c r="S6" s="9"/>
    </row>
    <row r="7" spans="1:19" x14ac:dyDescent="0.3">
      <c r="A7">
        <v>3</v>
      </c>
      <c r="B7" s="2">
        <f>'Saltire Fees 2016-17'!B7+('Saltire Fees 2016-17'!B7*0.05)</f>
        <v>4.2</v>
      </c>
      <c r="C7" s="2">
        <f t="shared" si="0"/>
        <v>12.600000000000001</v>
      </c>
      <c r="D7" s="7">
        <f t="shared" si="1"/>
        <v>50</v>
      </c>
      <c r="E7" s="2">
        <v>2</v>
      </c>
      <c r="F7" s="8">
        <f t="shared" si="2"/>
        <v>52</v>
      </c>
      <c r="G7" s="2">
        <v>4</v>
      </c>
      <c r="H7" s="8">
        <f t="shared" si="3"/>
        <v>54</v>
      </c>
    </row>
    <row r="8" spans="1:19" x14ac:dyDescent="0.3">
      <c r="A8">
        <v>3.5</v>
      </c>
      <c r="B8" s="2">
        <f>'Saltire Fees 2016-17'!B8+('Saltire Fees 2016-17'!B8*0.05)</f>
        <v>3.6749999999999998</v>
      </c>
      <c r="C8" s="2">
        <f t="shared" si="0"/>
        <v>12.862499999999999</v>
      </c>
      <c r="D8" s="7">
        <f t="shared" si="1"/>
        <v>51</v>
      </c>
      <c r="E8" s="2">
        <v>2</v>
      </c>
      <c r="F8" s="8">
        <f t="shared" si="2"/>
        <v>53</v>
      </c>
      <c r="G8" s="2">
        <v>4</v>
      </c>
      <c r="H8" s="8">
        <f t="shared" si="3"/>
        <v>55</v>
      </c>
    </row>
    <row r="9" spans="1:19" x14ac:dyDescent="0.3">
      <c r="A9">
        <v>4</v>
      </c>
      <c r="B9" s="2">
        <f>'Saltire Fees 2016-17'!B9+('Saltire Fees 2016-17'!B9*0.05)</f>
        <v>3.2549999999999999</v>
      </c>
      <c r="C9" s="2">
        <f t="shared" si="0"/>
        <v>13.02</v>
      </c>
      <c r="D9" s="7">
        <f t="shared" si="1"/>
        <v>52</v>
      </c>
      <c r="E9" s="2">
        <v>2</v>
      </c>
      <c r="F9" s="8">
        <f t="shared" si="2"/>
        <v>54</v>
      </c>
      <c r="G9" s="2">
        <v>4</v>
      </c>
      <c r="H9" s="8">
        <f t="shared" si="3"/>
        <v>56</v>
      </c>
    </row>
    <row r="10" spans="1:19" x14ac:dyDescent="0.3">
      <c r="A10">
        <v>4.5</v>
      </c>
      <c r="B10" s="2">
        <f>'Saltire Fees 2016-17'!B10+('Saltire Fees 2016-17'!B10*0.05)</f>
        <v>3.0449999999999999</v>
      </c>
      <c r="C10" s="2">
        <f t="shared" si="0"/>
        <v>13.702500000000001</v>
      </c>
      <c r="D10" s="7">
        <f t="shared" si="1"/>
        <v>55</v>
      </c>
      <c r="E10" s="2">
        <v>2</v>
      </c>
      <c r="F10" s="8">
        <f t="shared" si="2"/>
        <v>57</v>
      </c>
      <c r="G10" s="2">
        <v>4</v>
      </c>
      <c r="H10" s="8">
        <f t="shared" si="3"/>
        <v>59</v>
      </c>
    </row>
    <row r="11" spans="1:19" x14ac:dyDescent="0.3">
      <c r="A11">
        <v>5</v>
      </c>
      <c r="B11" s="2">
        <f>'Saltire Fees 2016-17'!B11+('Saltire Fees 2016-17'!B11*0.05)</f>
        <v>2.835</v>
      </c>
      <c r="C11" s="2">
        <f t="shared" si="0"/>
        <v>14.175000000000001</v>
      </c>
      <c r="D11" s="7">
        <f t="shared" si="1"/>
        <v>57</v>
      </c>
      <c r="E11" s="2">
        <v>2</v>
      </c>
      <c r="F11" s="8">
        <f t="shared" si="2"/>
        <v>59</v>
      </c>
      <c r="G11" s="2">
        <v>4</v>
      </c>
      <c r="H11" s="8">
        <f t="shared" si="3"/>
        <v>61</v>
      </c>
      <c r="K11" s="12"/>
    </row>
    <row r="12" spans="1:19" x14ac:dyDescent="0.3">
      <c r="A12">
        <v>5.5</v>
      </c>
      <c r="B12" s="2">
        <f>'Saltire Fees 2016-17'!B12+('Saltire Fees 2016-17'!B12*0.05)</f>
        <v>2.73</v>
      </c>
      <c r="C12" s="2">
        <f t="shared" si="0"/>
        <v>15.015000000000001</v>
      </c>
      <c r="D12" s="7">
        <f t="shared" si="1"/>
        <v>60</v>
      </c>
      <c r="E12" s="2">
        <v>2</v>
      </c>
      <c r="F12" s="8">
        <f t="shared" si="2"/>
        <v>62</v>
      </c>
      <c r="G12" s="2">
        <v>4</v>
      </c>
      <c r="H12" s="8">
        <f t="shared" si="3"/>
        <v>64</v>
      </c>
    </row>
    <row r="13" spans="1:19" x14ac:dyDescent="0.3">
      <c r="A13">
        <v>6</v>
      </c>
      <c r="B13" s="2">
        <f>'Saltire Fees 2016-17'!B13+('Saltire Fees 2016-17'!B13*0.05)</f>
        <v>2.625</v>
      </c>
      <c r="C13" s="2">
        <f t="shared" si="0"/>
        <v>15.75</v>
      </c>
      <c r="D13" s="7">
        <f t="shared" si="1"/>
        <v>63</v>
      </c>
      <c r="E13" s="2">
        <v>2</v>
      </c>
      <c r="F13" s="8">
        <f t="shared" si="2"/>
        <v>65</v>
      </c>
      <c r="G13" s="2">
        <v>4</v>
      </c>
      <c r="H13" s="8">
        <f t="shared" si="3"/>
        <v>67</v>
      </c>
    </row>
    <row r="14" spans="1:19" x14ac:dyDescent="0.3">
      <c r="A14">
        <v>6.5</v>
      </c>
      <c r="B14" s="2">
        <f>'Saltire Fees 2016-17'!B14+('Saltire Fees 2016-17'!B14*0.05)</f>
        <v>2.415</v>
      </c>
      <c r="C14" s="2">
        <f t="shared" si="0"/>
        <v>15.6975</v>
      </c>
      <c r="D14" s="7">
        <f t="shared" si="1"/>
        <v>63</v>
      </c>
      <c r="E14" s="2">
        <v>2</v>
      </c>
      <c r="F14" s="8">
        <f t="shared" si="2"/>
        <v>65</v>
      </c>
      <c r="G14" s="2">
        <v>4</v>
      </c>
      <c r="H14" s="8">
        <f t="shared" si="3"/>
        <v>67</v>
      </c>
    </row>
    <row r="15" spans="1:19" x14ac:dyDescent="0.3">
      <c r="A15">
        <v>7</v>
      </c>
      <c r="B15" s="2">
        <f>'Saltire Fees 2016-17'!B15+('Saltire Fees 2016-17'!B15*0.05)</f>
        <v>2.31</v>
      </c>
      <c r="C15" s="2">
        <f t="shared" si="0"/>
        <v>16.170000000000002</v>
      </c>
      <c r="D15" s="7">
        <f t="shared" si="1"/>
        <v>65</v>
      </c>
      <c r="E15" s="2">
        <v>2</v>
      </c>
      <c r="F15" s="8">
        <f t="shared" si="2"/>
        <v>67</v>
      </c>
      <c r="G15" s="2">
        <v>4</v>
      </c>
      <c r="H15" s="8">
        <f t="shared" si="3"/>
        <v>69</v>
      </c>
    </row>
    <row r="16" spans="1:19" x14ac:dyDescent="0.3">
      <c r="A16">
        <v>7.5</v>
      </c>
      <c r="B16" s="2">
        <f>'Saltire Fees 2016-17'!B16+('Saltire Fees 2016-17'!B16*0.05)</f>
        <v>2.2050000000000001</v>
      </c>
      <c r="C16" s="2">
        <f t="shared" si="0"/>
        <v>16.537500000000001</v>
      </c>
      <c r="D16" s="7">
        <f t="shared" si="1"/>
        <v>66</v>
      </c>
      <c r="E16" s="2">
        <v>2</v>
      </c>
      <c r="F16" s="8">
        <f t="shared" si="2"/>
        <v>68</v>
      </c>
      <c r="G16" s="2">
        <v>4</v>
      </c>
      <c r="H16" s="8">
        <f t="shared" si="3"/>
        <v>70</v>
      </c>
    </row>
    <row r="17" spans="1:8" x14ac:dyDescent="0.3">
      <c r="A17">
        <v>8</v>
      </c>
      <c r="B17" s="2">
        <f>'Saltire Fees 2016-17'!B17+('Saltire Fees 2016-17'!B17*0.05)</f>
        <v>2.1</v>
      </c>
      <c r="C17" s="2">
        <f t="shared" si="0"/>
        <v>16.8</v>
      </c>
      <c r="D17" s="7">
        <f t="shared" si="1"/>
        <v>67</v>
      </c>
      <c r="E17" s="2">
        <v>2</v>
      </c>
      <c r="F17" s="8">
        <f t="shared" si="2"/>
        <v>69</v>
      </c>
      <c r="G17" s="2">
        <v>4</v>
      </c>
      <c r="H17" s="8">
        <f t="shared" si="3"/>
        <v>71</v>
      </c>
    </row>
    <row r="18" spans="1:8" x14ac:dyDescent="0.3">
      <c r="A18">
        <v>8.5</v>
      </c>
      <c r="B18" s="2">
        <f>'Saltire Fees 2016-17'!B18+('Saltire Fees 2016-17'!B18*0.05)</f>
        <v>2.1</v>
      </c>
      <c r="C18" s="2">
        <f t="shared" si="0"/>
        <v>17.850000000000001</v>
      </c>
      <c r="D18" s="7">
        <f t="shared" si="1"/>
        <v>71</v>
      </c>
      <c r="E18" s="2">
        <v>2</v>
      </c>
      <c r="F18" s="8">
        <f t="shared" si="2"/>
        <v>73</v>
      </c>
      <c r="G18" s="2">
        <v>4</v>
      </c>
      <c r="H18" s="8">
        <f t="shared" si="3"/>
        <v>75</v>
      </c>
    </row>
    <row r="19" spans="1:8" x14ac:dyDescent="0.3">
      <c r="A19">
        <v>9</v>
      </c>
      <c r="B19" s="2">
        <f>'Saltire Fees 2016-17'!B19+('Saltire Fees 2016-17'!B19*0.05)</f>
        <v>2.0474999999999999</v>
      </c>
      <c r="C19" s="2">
        <f t="shared" si="0"/>
        <v>18.427499999999998</v>
      </c>
      <c r="D19" s="7">
        <f t="shared" si="1"/>
        <v>74</v>
      </c>
      <c r="E19" s="2">
        <v>2</v>
      </c>
      <c r="F19" s="8">
        <f t="shared" si="2"/>
        <v>76</v>
      </c>
      <c r="G19" s="2">
        <v>4</v>
      </c>
      <c r="H19" s="8">
        <f t="shared" si="3"/>
        <v>78</v>
      </c>
    </row>
    <row r="20" spans="1:8" x14ac:dyDescent="0.3">
      <c r="A20">
        <v>9.5</v>
      </c>
      <c r="B20" s="2">
        <f>'Saltire Fees 2016-17'!B20+('Saltire Fees 2016-17'!B20*0.05)</f>
        <v>1.9425000000000001</v>
      </c>
      <c r="C20" s="2">
        <f t="shared" si="0"/>
        <v>18.453749999999999</v>
      </c>
      <c r="D20" s="7">
        <f t="shared" si="1"/>
        <v>74</v>
      </c>
      <c r="E20" s="2">
        <v>2</v>
      </c>
      <c r="F20" s="8">
        <f t="shared" si="2"/>
        <v>76</v>
      </c>
      <c r="G20" s="2">
        <v>4</v>
      </c>
      <c r="H20" s="8">
        <f t="shared" si="3"/>
        <v>78</v>
      </c>
    </row>
    <row r="21" spans="1:8" x14ac:dyDescent="0.3">
      <c r="A21">
        <v>10</v>
      </c>
      <c r="B21" s="2">
        <f>'Saltire Fees 2016-17'!B21+('Saltire Fees 2016-17'!B21*0.05)</f>
        <v>1.8374999999999999</v>
      </c>
      <c r="C21" s="2">
        <f t="shared" si="0"/>
        <v>18.375</v>
      </c>
      <c r="D21" s="7">
        <f t="shared" si="1"/>
        <v>74</v>
      </c>
      <c r="E21" s="2">
        <v>2</v>
      </c>
      <c r="F21" s="8">
        <f t="shared" si="2"/>
        <v>76</v>
      </c>
      <c r="G21" s="2">
        <v>4</v>
      </c>
      <c r="H21" s="8">
        <f t="shared" si="3"/>
        <v>78</v>
      </c>
    </row>
    <row r="22" spans="1:8" x14ac:dyDescent="0.3">
      <c r="A22">
        <v>10.5</v>
      </c>
      <c r="B22" s="2">
        <f>'Saltire Fees 2016-17'!B22+('Saltire Fees 2016-17'!B22*0.05)</f>
        <v>1.7849999999999999</v>
      </c>
      <c r="C22" s="2">
        <f t="shared" si="0"/>
        <v>18.7425</v>
      </c>
      <c r="D22" s="7">
        <f t="shared" si="1"/>
        <v>75</v>
      </c>
      <c r="E22" s="2">
        <v>2</v>
      </c>
      <c r="F22" s="8">
        <f t="shared" si="2"/>
        <v>77</v>
      </c>
      <c r="G22" s="2">
        <v>4</v>
      </c>
      <c r="H22" s="8">
        <f t="shared" si="3"/>
        <v>79</v>
      </c>
    </row>
    <row r="23" spans="1:8" x14ac:dyDescent="0.3">
      <c r="A23">
        <v>11</v>
      </c>
      <c r="B23" s="2">
        <f>'Saltire Fees 2016-17'!B23+('Saltire Fees 2016-17'!B23*0.05)</f>
        <v>1.7324999999999999</v>
      </c>
      <c r="C23" s="2">
        <f t="shared" si="0"/>
        <v>19.057499999999997</v>
      </c>
      <c r="D23" s="7">
        <f t="shared" si="1"/>
        <v>76</v>
      </c>
      <c r="E23" s="2">
        <v>2</v>
      </c>
      <c r="F23" s="8">
        <f t="shared" si="2"/>
        <v>78</v>
      </c>
      <c r="G23" s="2">
        <v>4</v>
      </c>
      <c r="H23" s="8">
        <f t="shared" si="3"/>
        <v>80</v>
      </c>
    </row>
    <row r="24" spans="1:8" x14ac:dyDescent="0.3">
      <c r="A24">
        <v>11.5</v>
      </c>
      <c r="B24" s="2">
        <f>'Saltire Fees 2016-17'!B24+('Saltire Fees 2016-17'!B24*0.05)</f>
        <v>1.6800000000000002</v>
      </c>
      <c r="C24" s="2">
        <f t="shared" si="0"/>
        <v>19.32</v>
      </c>
      <c r="D24" s="7">
        <f t="shared" si="1"/>
        <v>77</v>
      </c>
      <c r="E24" s="2">
        <v>2</v>
      </c>
      <c r="F24" s="8">
        <f t="shared" si="2"/>
        <v>79</v>
      </c>
      <c r="G24" s="2">
        <v>4</v>
      </c>
      <c r="H24" s="8">
        <f t="shared" si="3"/>
        <v>81</v>
      </c>
    </row>
    <row r="25" spans="1:8" x14ac:dyDescent="0.3">
      <c r="A25">
        <v>12</v>
      </c>
      <c r="B25" s="2">
        <f>'Saltire Fees 2016-17'!B25+('Saltire Fees 2016-17'!B25*0.05)</f>
        <v>1.6274999999999999</v>
      </c>
      <c r="C25" s="2">
        <f t="shared" ref="C25" si="4">B25*A25</f>
        <v>19.53</v>
      </c>
      <c r="D25" s="7">
        <f t="shared" ref="D25" si="5">ROUND((C25*48/12),0)</f>
        <v>78</v>
      </c>
      <c r="E25" s="2">
        <v>2</v>
      </c>
      <c r="F25" s="8">
        <f t="shared" ref="F25" si="6">D25+E25</f>
        <v>80</v>
      </c>
      <c r="G25" s="2">
        <v>5</v>
      </c>
      <c r="H25" s="8">
        <f t="shared" ref="H25" si="7">D25+G25</f>
        <v>83</v>
      </c>
    </row>
    <row r="26" spans="1:8" x14ac:dyDescent="0.3">
      <c r="A26">
        <v>13</v>
      </c>
      <c r="B26" s="2">
        <v>1.55</v>
      </c>
      <c r="C26" s="2">
        <f t="shared" ref="C26:C28" si="8">B26*A26</f>
        <v>20.150000000000002</v>
      </c>
      <c r="D26" s="7">
        <f t="shared" ref="D26:D28" si="9">ROUND((C26*48/12),0)</f>
        <v>81</v>
      </c>
      <c r="E26" s="2">
        <v>2</v>
      </c>
      <c r="F26" s="8">
        <f t="shared" ref="F26:F28" si="10">D26+E26</f>
        <v>83</v>
      </c>
      <c r="G26" s="2">
        <v>4</v>
      </c>
      <c r="H26" s="8">
        <f t="shared" ref="H26:H28" si="11">D26+G26</f>
        <v>85</v>
      </c>
    </row>
    <row r="27" spans="1:8" x14ac:dyDescent="0.3">
      <c r="A27">
        <v>14</v>
      </c>
      <c r="B27" s="2">
        <v>1.45</v>
      </c>
      <c r="C27" s="2">
        <f t="shared" si="8"/>
        <v>20.3</v>
      </c>
      <c r="D27" s="7">
        <f t="shared" si="9"/>
        <v>81</v>
      </c>
      <c r="E27" s="2">
        <v>2</v>
      </c>
      <c r="F27" s="8">
        <f t="shared" si="10"/>
        <v>83</v>
      </c>
      <c r="G27" s="2">
        <v>4</v>
      </c>
      <c r="H27" s="8">
        <f t="shared" si="11"/>
        <v>85</v>
      </c>
    </row>
    <row r="28" spans="1:8" x14ac:dyDescent="0.3">
      <c r="A28">
        <v>15</v>
      </c>
      <c r="B28" s="2">
        <v>1.4</v>
      </c>
      <c r="C28" s="2">
        <f t="shared" si="8"/>
        <v>21</v>
      </c>
      <c r="D28" s="7">
        <f t="shared" si="9"/>
        <v>84</v>
      </c>
      <c r="E28" s="2">
        <v>2</v>
      </c>
      <c r="F28" s="8">
        <f t="shared" si="10"/>
        <v>86</v>
      </c>
      <c r="G28" s="2">
        <v>4</v>
      </c>
      <c r="H28" s="8">
        <f t="shared" si="11"/>
        <v>88</v>
      </c>
    </row>
    <row r="29" spans="1:8" x14ac:dyDescent="0.3">
      <c r="A29" t="s">
        <v>8</v>
      </c>
    </row>
    <row r="30" spans="1:8" x14ac:dyDescent="0.3">
      <c r="A30" t="s">
        <v>9</v>
      </c>
    </row>
    <row r="32" spans="1:8" x14ac:dyDescent="0.3">
      <c r="H32" s="11"/>
    </row>
    <row r="33" spans="8:8" x14ac:dyDescent="0.3">
      <c r="H33" s="11"/>
    </row>
  </sheetData>
  <hyperlinks>
    <hyperlink ref="D3" r:id="rId1" display="=@round((C3*42/12),0)" xr:uid="{00000000-0004-0000-0400-000000000000}"/>
    <hyperlink ref="D4:D21" r:id="rId2" display="=@round((C3*42/12),0)" xr:uid="{00000000-0004-0000-0400-000001000000}"/>
    <hyperlink ref="D22" r:id="rId3" display="=@round((C3*42/12),0)" xr:uid="{00000000-0004-0000-0400-000002000000}"/>
    <hyperlink ref="D23" r:id="rId4" display="=@round((C3*42/12),0)" xr:uid="{00000000-0004-0000-0400-000003000000}"/>
    <hyperlink ref="D24" r:id="rId5" display="=@round((C3*42/12),0)" xr:uid="{00000000-0004-0000-0400-000004000000}"/>
    <hyperlink ref="D25" r:id="rId6" display="=@round((C3*42/12),0)" xr:uid="{00000000-0004-0000-0400-000005000000}"/>
    <hyperlink ref="D26" r:id="rId7" display="=@round((C3*42/12),0)" xr:uid="{00000000-0004-0000-0400-000006000000}"/>
    <hyperlink ref="D27" r:id="rId8" display="=@round((C3*42/12),0)" xr:uid="{00000000-0004-0000-0400-000007000000}"/>
    <hyperlink ref="D28" r:id="rId9" display="=@round((C3*42/12),0)" xr:uid="{00000000-0004-0000-0400-000008000000}"/>
  </hyperlinks>
  <pageMargins left="0.70866141732283472" right="0.70866141732283472" top="0.74803149606299213" bottom="0.74803149606299213" header="0.31496062992125984" footer="0.31496062992125984"/>
  <pageSetup paperSize="9" scale="79" orientation="portrait" horizontalDpi="4294967293" verticalDpi="0"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S32"/>
  <sheetViews>
    <sheetView zoomScale="85" zoomScaleNormal="85" workbookViewId="0">
      <selection activeCell="B3" sqref="B3"/>
    </sheetView>
  </sheetViews>
  <sheetFormatPr defaultColWidth="8.77734375" defaultRowHeight="14.4" x14ac:dyDescent="0.3"/>
  <cols>
    <col min="1" max="1" width="17.6640625" customWidth="1"/>
    <col min="2" max="2" width="10" bestFit="1" customWidth="1"/>
    <col min="3" max="3" width="13.109375" bestFit="1" customWidth="1"/>
    <col min="4" max="4" width="13.109375" customWidth="1"/>
    <col min="5" max="5" width="14.44140625" style="2" bestFit="1" customWidth="1"/>
    <col min="6" max="6" width="12.77734375" style="2" customWidth="1"/>
    <col min="7" max="7" width="14.44140625" style="2" customWidth="1"/>
    <col min="8" max="8" width="13.44140625" customWidth="1"/>
  </cols>
  <sheetData>
    <row r="1" spans="1:19" ht="21" x14ac:dyDescent="0.4">
      <c r="A1" s="1" t="s">
        <v>10</v>
      </c>
    </row>
    <row r="2" spans="1:19" ht="43.2" x14ac:dyDescent="0.3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4" t="s">
        <v>6</v>
      </c>
      <c r="H2" s="5" t="s">
        <v>7</v>
      </c>
      <c r="N2" s="6"/>
      <c r="O2" s="6"/>
    </row>
    <row r="3" spans="1:19" ht="15.6" x14ac:dyDescent="0.3">
      <c r="A3">
        <v>1</v>
      </c>
      <c r="B3" s="2">
        <v>5</v>
      </c>
      <c r="C3" s="2">
        <f t="shared" ref="C3:C27" si="0">B3*A3</f>
        <v>5</v>
      </c>
      <c r="D3" s="7">
        <f t="shared" ref="D3:D27" si="1">ROUND((C3*48/12),0)</f>
        <v>20</v>
      </c>
      <c r="E3" s="2">
        <v>2</v>
      </c>
      <c r="F3" s="8">
        <f t="shared" ref="F3:F26" si="2">D3+E3</f>
        <v>22</v>
      </c>
      <c r="G3" s="2">
        <v>4</v>
      </c>
      <c r="H3" s="8">
        <f t="shared" ref="H3:H26" si="3">D3+G3</f>
        <v>24</v>
      </c>
      <c r="I3" s="9"/>
      <c r="N3" s="6"/>
      <c r="O3" s="6"/>
    </row>
    <row r="4" spans="1:19" ht="15.6" x14ac:dyDescent="0.3">
      <c r="A4">
        <v>1.5</v>
      </c>
      <c r="B4" s="2">
        <v>5</v>
      </c>
      <c r="C4" s="2">
        <f t="shared" si="0"/>
        <v>7.5</v>
      </c>
      <c r="D4" s="7">
        <f t="shared" si="1"/>
        <v>30</v>
      </c>
      <c r="E4" s="2">
        <v>2</v>
      </c>
      <c r="F4" s="8">
        <f t="shared" si="2"/>
        <v>32</v>
      </c>
      <c r="G4" s="2">
        <v>4</v>
      </c>
      <c r="H4" s="8">
        <f t="shared" si="3"/>
        <v>34</v>
      </c>
      <c r="I4" s="10"/>
      <c r="N4" s="6"/>
    </row>
    <row r="5" spans="1:19" ht="15.6" x14ac:dyDescent="0.3">
      <c r="A5">
        <v>2</v>
      </c>
      <c r="B5" s="2">
        <v>4.5</v>
      </c>
      <c r="C5" s="2">
        <f t="shared" si="0"/>
        <v>9</v>
      </c>
      <c r="D5" s="7">
        <f t="shared" si="1"/>
        <v>36</v>
      </c>
      <c r="E5" s="2">
        <v>2</v>
      </c>
      <c r="F5" s="8">
        <f t="shared" si="2"/>
        <v>38</v>
      </c>
      <c r="G5" s="2">
        <v>4</v>
      </c>
      <c r="H5" s="8">
        <f t="shared" si="3"/>
        <v>40</v>
      </c>
      <c r="N5" s="6"/>
      <c r="S5" s="9"/>
    </row>
    <row r="6" spans="1:19" ht="15.6" x14ac:dyDescent="0.3">
      <c r="A6">
        <v>2.5</v>
      </c>
      <c r="B6" s="2">
        <v>4</v>
      </c>
      <c r="C6" s="2">
        <f t="shared" si="0"/>
        <v>10</v>
      </c>
      <c r="D6" s="7">
        <f t="shared" si="1"/>
        <v>40</v>
      </c>
      <c r="E6" s="2">
        <v>2</v>
      </c>
      <c r="F6" s="8">
        <f t="shared" si="2"/>
        <v>42</v>
      </c>
      <c r="G6" s="2">
        <v>4</v>
      </c>
      <c r="H6" s="8">
        <f t="shared" si="3"/>
        <v>44</v>
      </c>
      <c r="N6" s="6"/>
      <c r="S6" s="9"/>
    </row>
    <row r="7" spans="1:19" x14ac:dyDescent="0.3">
      <c r="A7">
        <v>3</v>
      </c>
      <c r="B7" s="2">
        <v>4</v>
      </c>
      <c r="C7" s="2">
        <f t="shared" si="0"/>
        <v>12</v>
      </c>
      <c r="D7" s="7">
        <f t="shared" si="1"/>
        <v>48</v>
      </c>
      <c r="E7" s="2">
        <v>2</v>
      </c>
      <c r="F7" s="8">
        <f t="shared" si="2"/>
        <v>50</v>
      </c>
      <c r="G7" s="2">
        <v>4</v>
      </c>
      <c r="H7" s="8">
        <f t="shared" si="3"/>
        <v>52</v>
      </c>
    </row>
    <row r="8" spans="1:19" x14ac:dyDescent="0.3">
      <c r="A8">
        <v>3.5</v>
      </c>
      <c r="B8" s="2">
        <v>3.5</v>
      </c>
      <c r="C8" s="2">
        <f t="shared" si="0"/>
        <v>12.25</v>
      </c>
      <c r="D8" s="7">
        <f t="shared" si="1"/>
        <v>49</v>
      </c>
      <c r="E8" s="2">
        <v>2</v>
      </c>
      <c r="F8" s="8">
        <f t="shared" si="2"/>
        <v>51</v>
      </c>
      <c r="G8" s="2">
        <v>4</v>
      </c>
      <c r="H8" s="8">
        <f t="shared" si="3"/>
        <v>53</v>
      </c>
    </row>
    <row r="9" spans="1:19" x14ac:dyDescent="0.3">
      <c r="A9">
        <v>4</v>
      </c>
      <c r="B9" s="2">
        <v>3.1</v>
      </c>
      <c r="C9" s="2">
        <f t="shared" si="0"/>
        <v>12.4</v>
      </c>
      <c r="D9" s="7">
        <f t="shared" si="1"/>
        <v>50</v>
      </c>
      <c r="E9" s="2">
        <v>2</v>
      </c>
      <c r="F9" s="8">
        <f t="shared" si="2"/>
        <v>52</v>
      </c>
      <c r="G9" s="2">
        <v>4</v>
      </c>
      <c r="H9" s="8">
        <f t="shared" si="3"/>
        <v>54</v>
      </c>
    </row>
    <row r="10" spans="1:19" x14ac:dyDescent="0.3">
      <c r="A10">
        <v>4.5</v>
      </c>
      <c r="B10" s="2">
        <v>2.9</v>
      </c>
      <c r="C10" s="2">
        <f t="shared" si="0"/>
        <v>13.049999999999999</v>
      </c>
      <c r="D10" s="7">
        <f t="shared" si="1"/>
        <v>52</v>
      </c>
      <c r="E10" s="2">
        <v>2</v>
      </c>
      <c r="F10" s="8">
        <f t="shared" si="2"/>
        <v>54</v>
      </c>
      <c r="G10" s="2">
        <v>4</v>
      </c>
      <c r="H10" s="8">
        <f t="shared" si="3"/>
        <v>56</v>
      </c>
    </row>
    <row r="11" spans="1:19" x14ac:dyDescent="0.3">
      <c r="A11">
        <v>5</v>
      </c>
      <c r="B11" s="2">
        <v>2.7</v>
      </c>
      <c r="C11" s="2">
        <f t="shared" si="0"/>
        <v>13.5</v>
      </c>
      <c r="D11" s="7">
        <f t="shared" si="1"/>
        <v>54</v>
      </c>
      <c r="E11" s="2">
        <v>2</v>
      </c>
      <c r="F11" s="8">
        <f t="shared" si="2"/>
        <v>56</v>
      </c>
      <c r="G11" s="2">
        <v>4</v>
      </c>
      <c r="H11" s="8">
        <f t="shared" si="3"/>
        <v>58</v>
      </c>
    </row>
    <row r="12" spans="1:19" x14ac:dyDescent="0.3">
      <c r="A12">
        <v>5.5</v>
      </c>
      <c r="B12" s="2">
        <v>2.6</v>
      </c>
      <c r="C12" s="2">
        <f t="shared" si="0"/>
        <v>14.3</v>
      </c>
      <c r="D12" s="7">
        <f t="shared" si="1"/>
        <v>57</v>
      </c>
      <c r="E12" s="2">
        <v>2</v>
      </c>
      <c r="F12" s="8">
        <f t="shared" si="2"/>
        <v>59</v>
      </c>
      <c r="G12" s="2">
        <v>4</v>
      </c>
      <c r="H12" s="8">
        <f t="shared" si="3"/>
        <v>61</v>
      </c>
      <c r="L12">
        <f>0.79/5</f>
        <v>0.158</v>
      </c>
    </row>
    <row r="13" spans="1:19" x14ac:dyDescent="0.3">
      <c r="A13">
        <v>6</v>
      </c>
      <c r="B13" s="2">
        <v>2.5</v>
      </c>
      <c r="C13" s="2">
        <f t="shared" si="0"/>
        <v>15</v>
      </c>
      <c r="D13" s="7">
        <f t="shared" si="1"/>
        <v>60</v>
      </c>
      <c r="E13" s="2">
        <v>2</v>
      </c>
      <c r="F13" s="8">
        <f t="shared" si="2"/>
        <v>62</v>
      </c>
      <c r="G13" s="2">
        <v>4</v>
      </c>
      <c r="H13" s="8">
        <f t="shared" si="3"/>
        <v>64</v>
      </c>
    </row>
    <row r="14" spans="1:19" x14ac:dyDescent="0.3">
      <c r="A14">
        <v>6.5</v>
      </c>
      <c r="B14" s="2">
        <v>2.2999999999999998</v>
      </c>
      <c r="C14" s="2">
        <f t="shared" si="0"/>
        <v>14.95</v>
      </c>
      <c r="D14" s="7">
        <f t="shared" si="1"/>
        <v>60</v>
      </c>
      <c r="E14" s="2">
        <v>2</v>
      </c>
      <c r="F14" s="8">
        <f t="shared" si="2"/>
        <v>62</v>
      </c>
      <c r="G14" s="2">
        <v>4</v>
      </c>
      <c r="H14" s="8">
        <f t="shared" si="3"/>
        <v>64</v>
      </c>
    </row>
    <row r="15" spans="1:19" x14ac:dyDescent="0.3">
      <c r="A15">
        <v>7</v>
      </c>
      <c r="B15" s="2">
        <v>2.2000000000000002</v>
      </c>
      <c r="C15" s="2">
        <f t="shared" si="0"/>
        <v>15.400000000000002</v>
      </c>
      <c r="D15" s="7">
        <f t="shared" si="1"/>
        <v>62</v>
      </c>
      <c r="E15" s="2">
        <v>2</v>
      </c>
      <c r="F15" s="8">
        <f t="shared" si="2"/>
        <v>64</v>
      </c>
      <c r="G15" s="2">
        <v>4</v>
      </c>
      <c r="H15" s="8">
        <f t="shared" si="3"/>
        <v>66</v>
      </c>
    </row>
    <row r="16" spans="1:19" x14ac:dyDescent="0.3">
      <c r="A16">
        <v>7.5</v>
      </c>
      <c r="B16" s="2">
        <v>2.1</v>
      </c>
      <c r="C16" s="2">
        <f t="shared" si="0"/>
        <v>15.75</v>
      </c>
      <c r="D16" s="7">
        <f t="shared" si="1"/>
        <v>63</v>
      </c>
      <c r="E16" s="2">
        <v>2</v>
      </c>
      <c r="F16" s="8">
        <f t="shared" si="2"/>
        <v>65</v>
      </c>
      <c r="G16" s="2">
        <v>4</v>
      </c>
      <c r="H16" s="8">
        <f t="shared" si="3"/>
        <v>67</v>
      </c>
    </row>
    <row r="17" spans="1:8" x14ac:dyDescent="0.3">
      <c r="A17">
        <v>8</v>
      </c>
      <c r="B17" s="2">
        <v>2</v>
      </c>
      <c r="C17" s="2">
        <f t="shared" si="0"/>
        <v>16</v>
      </c>
      <c r="D17" s="7">
        <f t="shared" si="1"/>
        <v>64</v>
      </c>
      <c r="E17" s="2">
        <v>2</v>
      </c>
      <c r="F17" s="8">
        <f t="shared" si="2"/>
        <v>66</v>
      </c>
      <c r="G17" s="2">
        <v>4</v>
      </c>
      <c r="H17" s="8">
        <f t="shared" si="3"/>
        <v>68</v>
      </c>
    </row>
    <row r="18" spans="1:8" x14ac:dyDescent="0.3">
      <c r="A18">
        <v>8.5</v>
      </c>
      <c r="B18" s="2">
        <v>2</v>
      </c>
      <c r="C18" s="2">
        <f t="shared" si="0"/>
        <v>17</v>
      </c>
      <c r="D18" s="7">
        <f t="shared" si="1"/>
        <v>68</v>
      </c>
      <c r="E18" s="2">
        <v>2</v>
      </c>
      <c r="F18" s="8">
        <f t="shared" si="2"/>
        <v>70</v>
      </c>
      <c r="G18" s="2">
        <v>4</v>
      </c>
      <c r="H18" s="8">
        <f t="shared" si="3"/>
        <v>72</v>
      </c>
    </row>
    <row r="19" spans="1:8" x14ac:dyDescent="0.3">
      <c r="A19">
        <v>9</v>
      </c>
      <c r="B19" s="2">
        <v>1.95</v>
      </c>
      <c r="C19" s="2">
        <f t="shared" si="0"/>
        <v>17.55</v>
      </c>
      <c r="D19" s="7">
        <f t="shared" si="1"/>
        <v>70</v>
      </c>
      <c r="E19" s="2">
        <v>2</v>
      </c>
      <c r="F19" s="8">
        <f t="shared" si="2"/>
        <v>72</v>
      </c>
      <c r="G19" s="2">
        <v>4</v>
      </c>
      <c r="H19" s="8">
        <f t="shared" si="3"/>
        <v>74</v>
      </c>
    </row>
    <row r="20" spans="1:8" x14ac:dyDescent="0.3">
      <c r="A20">
        <v>9.5</v>
      </c>
      <c r="B20" s="2">
        <v>1.85</v>
      </c>
      <c r="C20" s="2">
        <f t="shared" si="0"/>
        <v>17.574999999999999</v>
      </c>
      <c r="D20" s="7">
        <f t="shared" si="1"/>
        <v>70</v>
      </c>
      <c r="E20" s="2">
        <v>2</v>
      </c>
      <c r="F20" s="8">
        <f t="shared" si="2"/>
        <v>72</v>
      </c>
      <c r="G20" s="2">
        <v>4</v>
      </c>
      <c r="H20" s="8">
        <f t="shared" si="3"/>
        <v>74</v>
      </c>
    </row>
    <row r="21" spans="1:8" x14ac:dyDescent="0.3">
      <c r="A21">
        <v>10</v>
      </c>
      <c r="B21" s="2">
        <v>1.75</v>
      </c>
      <c r="C21" s="2">
        <f t="shared" si="0"/>
        <v>17.5</v>
      </c>
      <c r="D21" s="7">
        <f t="shared" si="1"/>
        <v>70</v>
      </c>
      <c r="E21" s="2">
        <v>2</v>
      </c>
      <c r="F21" s="8">
        <f t="shared" si="2"/>
        <v>72</v>
      </c>
      <c r="G21" s="2">
        <v>4</v>
      </c>
      <c r="H21" s="8">
        <f t="shared" si="3"/>
        <v>74</v>
      </c>
    </row>
    <row r="22" spans="1:8" x14ac:dyDescent="0.3">
      <c r="A22">
        <v>10.5</v>
      </c>
      <c r="B22" s="2">
        <v>1.7</v>
      </c>
      <c r="C22" s="2">
        <f t="shared" si="0"/>
        <v>17.849999999999998</v>
      </c>
      <c r="D22" s="7">
        <f t="shared" si="1"/>
        <v>71</v>
      </c>
      <c r="E22" s="2">
        <v>2</v>
      </c>
      <c r="F22" s="8">
        <f t="shared" si="2"/>
        <v>73</v>
      </c>
      <c r="G22" s="2">
        <v>4</v>
      </c>
      <c r="H22" s="8">
        <f t="shared" si="3"/>
        <v>75</v>
      </c>
    </row>
    <row r="23" spans="1:8" x14ac:dyDescent="0.3">
      <c r="A23">
        <v>11</v>
      </c>
      <c r="B23" s="2">
        <v>1.65</v>
      </c>
      <c r="C23" s="2">
        <f t="shared" si="0"/>
        <v>18.149999999999999</v>
      </c>
      <c r="D23" s="7">
        <f t="shared" si="1"/>
        <v>73</v>
      </c>
      <c r="E23" s="2">
        <v>2</v>
      </c>
      <c r="F23" s="8">
        <f t="shared" si="2"/>
        <v>75</v>
      </c>
      <c r="G23" s="2">
        <v>4</v>
      </c>
      <c r="H23" s="8">
        <f t="shared" si="3"/>
        <v>77</v>
      </c>
    </row>
    <row r="24" spans="1:8" x14ac:dyDescent="0.3">
      <c r="A24">
        <v>11.5</v>
      </c>
      <c r="B24" s="2">
        <v>1.6</v>
      </c>
      <c r="C24" s="2">
        <f t="shared" si="0"/>
        <v>18.400000000000002</v>
      </c>
      <c r="D24" s="7">
        <f t="shared" si="1"/>
        <v>74</v>
      </c>
      <c r="E24" s="2">
        <v>2</v>
      </c>
      <c r="F24" s="8">
        <f t="shared" si="2"/>
        <v>76</v>
      </c>
      <c r="G24" s="2">
        <v>4</v>
      </c>
      <c r="H24" s="8">
        <f t="shared" si="3"/>
        <v>78</v>
      </c>
    </row>
    <row r="25" spans="1:8" x14ac:dyDescent="0.3">
      <c r="A25">
        <v>12</v>
      </c>
      <c r="B25" s="2">
        <v>1.55</v>
      </c>
      <c r="C25" s="2">
        <f t="shared" si="0"/>
        <v>18.600000000000001</v>
      </c>
      <c r="D25" s="7">
        <f t="shared" si="1"/>
        <v>74</v>
      </c>
      <c r="E25" s="2">
        <v>2</v>
      </c>
      <c r="F25" s="8">
        <f t="shared" si="2"/>
        <v>76</v>
      </c>
      <c r="G25" s="2">
        <v>4</v>
      </c>
      <c r="H25" s="8">
        <f t="shared" si="3"/>
        <v>78</v>
      </c>
    </row>
    <row r="26" spans="1:8" x14ac:dyDescent="0.3">
      <c r="A26">
        <v>13</v>
      </c>
      <c r="B26" s="2">
        <v>1.45</v>
      </c>
      <c r="C26" s="2">
        <f t="shared" si="0"/>
        <v>18.849999999999998</v>
      </c>
      <c r="D26" s="7">
        <f t="shared" si="1"/>
        <v>75</v>
      </c>
      <c r="E26" s="2">
        <v>2</v>
      </c>
      <c r="F26" s="8">
        <f t="shared" si="2"/>
        <v>77</v>
      </c>
      <c r="G26" s="2">
        <v>4</v>
      </c>
      <c r="H26" s="8">
        <f t="shared" si="3"/>
        <v>79</v>
      </c>
    </row>
    <row r="27" spans="1:8" x14ac:dyDescent="0.3">
      <c r="A27">
        <v>14</v>
      </c>
      <c r="B27" s="2">
        <v>1.35</v>
      </c>
      <c r="C27" s="2">
        <f t="shared" si="0"/>
        <v>18.900000000000002</v>
      </c>
      <c r="D27" s="7">
        <f t="shared" si="1"/>
        <v>76</v>
      </c>
      <c r="E27" s="2">
        <v>2</v>
      </c>
      <c r="F27" s="8">
        <f t="shared" ref="F27" si="4">D27+E27</f>
        <v>78</v>
      </c>
      <c r="G27" s="2">
        <v>5</v>
      </c>
      <c r="H27" s="8">
        <f t="shared" ref="H27" si="5">D27+G27</f>
        <v>81</v>
      </c>
    </row>
    <row r="28" spans="1:8" x14ac:dyDescent="0.3">
      <c r="A28" t="s">
        <v>8</v>
      </c>
    </row>
    <row r="29" spans="1:8" x14ac:dyDescent="0.3">
      <c r="A29" t="s">
        <v>9</v>
      </c>
    </row>
    <row r="31" spans="1:8" x14ac:dyDescent="0.3">
      <c r="H31" s="11"/>
    </row>
    <row r="32" spans="1:8" x14ac:dyDescent="0.3">
      <c r="H32" s="11"/>
    </row>
  </sheetData>
  <hyperlinks>
    <hyperlink ref="D3" r:id="rId1" display="=@round((C3*42/12),0)" xr:uid="{00000000-0004-0000-0500-000000000000}"/>
    <hyperlink ref="D4:D21" r:id="rId2" display="=@round((C3*42/12),0)" xr:uid="{00000000-0004-0000-0500-000001000000}"/>
    <hyperlink ref="D22" r:id="rId3" display="=@round((C3*42/12),0)" xr:uid="{00000000-0004-0000-0500-000002000000}"/>
    <hyperlink ref="D23" r:id="rId4" display="=@round((C3*42/12),0)" xr:uid="{00000000-0004-0000-0500-000003000000}"/>
    <hyperlink ref="D24" r:id="rId5" display="=@round((C3*42/12),0)" xr:uid="{00000000-0004-0000-0500-000004000000}"/>
    <hyperlink ref="D25:D26" r:id="rId6" display="=@round((C3*42/12),0)" xr:uid="{00000000-0004-0000-0500-000005000000}"/>
    <hyperlink ref="D26:D27" r:id="rId7" display="=@round((C3*42/12),0)" xr:uid="{00000000-0004-0000-0500-000006000000}"/>
  </hyperlinks>
  <pageMargins left="0.70866141732283472" right="0.70866141732283472" top="0.74803149606299213" bottom="0.74803149606299213" header="0.31496062992125984" footer="0.31496062992125984"/>
  <pageSetup paperSize="9" scale="79" orientation="portrait" horizont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D100-2B40-3948-AB72-FA27D1592845}">
  <sheetPr codeName="Sheet12">
    <pageSetUpPr fitToPage="1"/>
  </sheetPr>
  <dimension ref="A1:S56"/>
  <sheetViews>
    <sheetView topLeftCell="A26" zoomScale="140" zoomScaleNormal="140" workbookViewId="0">
      <selection activeCell="F38" sqref="F38"/>
    </sheetView>
  </sheetViews>
  <sheetFormatPr defaultColWidth="8.77734375" defaultRowHeight="14.4" x14ac:dyDescent="0.3"/>
  <cols>
    <col min="1" max="1" width="17.6640625" style="31" customWidth="1"/>
    <col min="2" max="3" width="12.77734375" style="30" customWidth="1"/>
    <col min="4" max="5" width="13.44140625" style="31" customWidth="1"/>
    <col min="6" max="8" width="8.77734375" style="31"/>
    <col min="9" max="10" width="10.109375" style="31" customWidth="1"/>
    <col min="12" max="16384" width="8.77734375" style="31"/>
  </cols>
  <sheetData>
    <row r="1" spans="1:19" ht="21" x14ac:dyDescent="0.4">
      <c r="A1" s="29" t="s">
        <v>37</v>
      </c>
    </row>
    <row r="2" spans="1:19" ht="97.2" x14ac:dyDescent="0.3">
      <c r="A2" s="32" t="s">
        <v>0</v>
      </c>
      <c r="B2" s="33" t="s">
        <v>41</v>
      </c>
      <c r="C2" s="33" t="s">
        <v>32</v>
      </c>
      <c r="D2" s="39" t="s">
        <v>40</v>
      </c>
      <c r="E2" s="39" t="s">
        <v>32</v>
      </c>
      <c r="F2" s="41" t="s">
        <v>42</v>
      </c>
      <c r="G2" s="42" t="s">
        <v>32</v>
      </c>
      <c r="H2" s="51" t="s">
        <v>28</v>
      </c>
      <c r="I2" s="45" t="s">
        <v>43</v>
      </c>
      <c r="J2" s="46" t="s">
        <v>32</v>
      </c>
      <c r="N2" s="34"/>
      <c r="O2" s="34"/>
    </row>
    <row r="3" spans="1:19" ht="13.8" x14ac:dyDescent="0.25">
      <c r="A3" s="38">
        <v>0.75</v>
      </c>
      <c r="B3" s="54"/>
      <c r="C3" s="54"/>
      <c r="D3" s="54"/>
      <c r="E3" s="54"/>
      <c r="F3" s="43">
        <f>MROUND((('Saltire Fees 2023-24'!F3-3)*1.09+3),0.5)</f>
        <v>29.5</v>
      </c>
      <c r="G3" s="43">
        <f>MROUND(((F3-3)-((F3-3)*0.25)+3),0.5)</f>
        <v>23</v>
      </c>
      <c r="H3" s="52"/>
      <c r="I3" s="48">
        <f>MROUND((('Saltire Fees 2023-24'!I3-3)*1.09+3),0.5)</f>
        <v>26</v>
      </c>
      <c r="J3" s="48">
        <f>MROUND(((I3-3)-((I3-3)*0.25)+3),0.5)</f>
        <v>20.5</v>
      </c>
      <c r="K3" s="31"/>
      <c r="N3" s="34"/>
      <c r="O3" s="34"/>
    </row>
    <row r="4" spans="1:19" ht="13.8" x14ac:dyDescent="0.25">
      <c r="A4" s="38">
        <v>0.75</v>
      </c>
      <c r="B4" s="54"/>
      <c r="C4" s="54"/>
      <c r="D4" s="54"/>
      <c r="E4" s="54"/>
      <c r="F4" s="54"/>
      <c r="G4" s="54"/>
      <c r="H4" s="52"/>
      <c r="I4" s="48">
        <f>MROUND((('Saltire Fees 2023-24'!I4-3)*1.09+3),0.5)</f>
        <v>27</v>
      </c>
      <c r="J4" s="48">
        <f t="shared" ref="J4:J6" si="0">MROUND(((I4-3)-((I4-3)*0.25)+3),0.5)</f>
        <v>21</v>
      </c>
      <c r="K4" s="31" t="s">
        <v>33</v>
      </c>
      <c r="N4" s="34"/>
      <c r="O4" s="34"/>
    </row>
    <row r="5" spans="1:19" x14ac:dyDescent="0.3">
      <c r="A5" s="31">
        <v>1</v>
      </c>
      <c r="B5" s="8">
        <f>MROUND((('Saltire Fees 2023-24'!B5-3)*1.09+3),0.5)</f>
        <v>34</v>
      </c>
      <c r="C5" s="35">
        <f t="shared" ref="C5:C49" si="1">MROUND(((B5-3)-((B5-3)*0.25)+3),0.5)</f>
        <v>26.5</v>
      </c>
      <c r="D5" s="56">
        <f>MROUND((('Saltire Fees 2023-24'!D5-5)*1.07+5),0.5)</f>
        <v>36</v>
      </c>
      <c r="E5" s="40">
        <f>MROUND(((D5-5)-((D5-5)*0.25)+5),0.5)</f>
        <v>28.5</v>
      </c>
      <c r="F5" s="43">
        <f>MROUND((('Saltire Fees 2023-24'!F5-3)*1.09+3),0.5)</f>
        <v>34</v>
      </c>
      <c r="G5" s="43">
        <f t="shared" ref="G5:G7" si="2">MROUND(((F5-3)-((F5-3)*0.25)+3),0.5)</f>
        <v>26.5</v>
      </c>
      <c r="H5" s="53">
        <v>8.75</v>
      </c>
      <c r="I5" s="48">
        <f>MROUND((('Saltire Fees 2023-24'!I5-3)*1.09+3),0.5)</f>
        <v>33</v>
      </c>
      <c r="J5" s="48">
        <f t="shared" si="0"/>
        <v>25.5</v>
      </c>
      <c r="K5" s="31"/>
      <c r="L5" s="30"/>
      <c r="N5" s="34"/>
      <c r="O5" s="34"/>
    </row>
    <row r="6" spans="1:19" x14ac:dyDescent="0.3">
      <c r="A6" s="31">
        <v>1.5</v>
      </c>
      <c r="B6" s="8">
        <f>MROUND((('Saltire Fees 2023-24'!B6-3)*1.09+3),0.5)</f>
        <v>49.5</v>
      </c>
      <c r="C6" s="35">
        <f t="shared" si="1"/>
        <v>38</v>
      </c>
      <c r="D6" s="56">
        <f>MROUND((('Saltire Fees 2023-24'!D6-5)*1.07+5),0.5)</f>
        <v>51</v>
      </c>
      <c r="E6" s="40">
        <f t="shared" ref="E6:E7" si="3">MROUND(((D6-5)-((D6-5)*0.25)+5),0.5)</f>
        <v>39.5</v>
      </c>
      <c r="F6" s="43">
        <f>MROUND((('Saltire Fees 2023-24'!F6-3)*1.09+3),0.5)</f>
        <v>49.5</v>
      </c>
      <c r="G6" s="43">
        <f t="shared" si="2"/>
        <v>38</v>
      </c>
      <c r="H6" s="53">
        <v>11.75</v>
      </c>
      <c r="I6" s="48">
        <f>MROUND((('Saltire Fees 2023-24'!I6-3)*1.09+3),0.5)</f>
        <v>48.5</v>
      </c>
      <c r="J6" s="48">
        <f t="shared" si="0"/>
        <v>37</v>
      </c>
      <c r="K6" s="31"/>
      <c r="L6" s="30"/>
      <c r="N6" s="34"/>
    </row>
    <row r="7" spans="1:19" ht="15.6" x14ac:dyDescent="0.3">
      <c r="A7" s="31">
        <v>2</v>
      </c>
      <c r="B7" s="8">
        <f>MROUND((('Saltire Fees 2023-24'!B7-3)*1.09+3),0.5)</f>
        <v>58</v>
      </c>
      <c r="C7" s="35">
        <f t="shared" si="1"/>
        <v>44.5</v>
      </c>
      <c r="D7" s="56">
        <f>MROUND((('Saltire Fees 2023-24'!D7-5)*1.07+5),0.5)</f>
        <v>59</v>
      </c>
      <c r="E7" s="40">
        <f t="shared" si="3"/>
        <v>45.5</v>
      </c>
      <c r="F7" s="43">
        <f>MROUND((('Saltire Fees 2023-24'!F7-3)*1.09+3),0.5)</f>
        <v>58</v>
      </c>
      <c r="G7" s="43">
        <f t="shared" si="2"/>
        <v>44.5</v>
      </c>
      <c r="H7" s="53"/>
      <c r="I7" s="50"/>
      <c r="J7" s="50"/>
      <c r="K7" s="31"/>
      <c r="L7" s="30"/>
      <c r="N7" s="34"/>
      <c r="S7" s="9"/>
    </row>
    <row r="8" spans="1:19" ht="15.6" x14ac:dyDescent="0.3">
      <c r="A8" s="31">
        <v>2.25</v>
      </c>
      <c r="B8" s="8">
        <f>MROUND((('Saltire Fees 2023-24'!B8-3)*1.09+3),0.5)</f>
        <v>61</v>
      </c>
      <c r="C8" s="35">
        <f t="shared" si="1"/>
        <v>46.5</v>
      </c>
      <c r="D8" s="56">
        <f>MROUND((('Saltire Fees 2023-24'!D8-5)*1.07+5),0.5)</f>
        <v>61.5</v>
      </c>
      <c r="E8" s="40">
        <f t="shared" ref="E8:E26" si="4">MROUND(((D8-5)-((D8-5)*0.25)+5),0.5)</f>
        <v>47.5</v>
      </c>
      <c r="F8" s="43"/>
      <c r="G8" s="43"/>
      <c r="H8" s="53"/>
      <c r="I8" s="50"/>
      <c r="J8" s="50"/>
      <c r="K8" s="31"/>
      <c r="L8" s="30"/>
      <c r="N8" s="34"/>
      <c r="S8" s="9"/>
    </row>
    <row r="9" spans="1:19" ht="15.6" x14ac:dyDescent="0.3">
      <c r="A9" s="31">
        <v>2.5</v>
      </c>
      <c r="B9" s="8">
        <f>MROUND((('Saltire Fees 2023-24'!B9-3)*1.09+3),0.5)</f>
        <v>66</v>
      </c>
      <c r="C9" s="35">
        <f t="shared" si="1"/>
        <v>50.5</v>
      </c>
      <c r="D9" s="56">
        <f>MROUND((('Saltire Fees 2023-24'!D9-5)*1.07+5),0.5)</f>
        <v>65</v>
      </c>
      <c r="E9" s="40">
        <f t="shared" si="4"/>
        <v>50</v>
      </c>
      <c r="F9" s="58"/>
      <c r="G9" s="58"/>
      <c r="H9" s="53"/>
      <c r="I9" s="50"/>
      <c r="J9" s="50"/>
      <c r="K9" s="31"/>
      <c r="L9" s="30"/>
      <c r="N9" s="34"/>
      <c r="S9" s="9"/>
    </row>
    <row r="10" spans="1:19" ht="15.6" x14ac:dyDescent="0.3">
      <c r="A10" s="31">
        <v>2.75</v>
      </c>
      <c r="B10" s="8">
        <f>MROUND((('Saltire Fees 2023-24'!B10-3)*1.09+3),0.5)</f>
        <v>70.5</v>
      </c>
      <c r="C10" s="35">
        <f t="shared" si="1"/>
        <v>53.5</v>
      </c>
      <c r="D10" s="56">
        <f>MROUND((('Saltire Fees 2023-24'!D10-5)*1.07+5),0.5)</f>
        <v>69</v>
      </c>
      <c r="E10" s="40">
        <f t="shared" si="4"/>
        <v>53</v>
      </c>
      <c r="F10" s="58"/>
      <c r="G10" s="58"/>
      <c r="H10" s="53"/>
      <c r="I10" s="50"/>
      <c r="J10" s="50"/>
      <c r="K10" s="31"/>
      <c r="L10" s="30"/>
      <c r="N10" s="34"/>
      <c r="S10" s="9"/>
    </row>
    <row r="11" spans="1:19" x14ac:dyDescent="0.3">
      <c r="A11" s="31">
        <v>3</v>
      </c>
      <c r="B11" s="8">
        <f>MROUND((('Saltire Fees 2023-24'!B11-3)*1.09+3),0.5)</f>
        <v>74</v>
      </c>
      <c r="C11" s="35">
        <f t="shared" si="1"/>
        <v>56.5</v>
      </c>
      <c r="D11" s="56">
        <f>MROUND((('Saltire Fees 2023-24'!D11-5)*1.07+5),0.5)</f>
        <v>73.5</v>
      </c>
      <c r="E11" s="40">
        <f t="shared" si="4"/>
        <v>56.5</v>
      </c>
      <c r="F11" s="58"/>
      <c r="G11" s="58"/>
      <c r="H11" s="53">
        <v>14.5</v>
      </c>
      <c r="I11" s="50"/>
      <c r="J11" s="50"/>
      <c r="K11" s="31"/>
      <c r="L11" s="30"/>
    </row>
    <row r="12" spans="1:19" x14ac:dyDescent="0.3">
      <c r="A12" s="31">
        <v>3.25</v>
      </c>
      <c r="B12" s="8">
        <f>MROUND((('Saltire Fees 2023-24'!B12-3)*1.09+3),0.5)</f>
        <v>76</v>
      </c>
      <c r="C12" s="35">
        <f t="shared" si="1"/>
        <v>58</v>
      </c>
      <c r="D12" s="56">
        <f>MROUND((('Saltire Fees 2023-24'!D12-5)*1.07+5),0.5)</f>
        <v>75.5</v>
      </c>
      <c r="E12" s="40">
        <f t="shared" si="4"/>
        <v>58</v>
      </c>
      <c r="F12" s="58"/>
      <c r="G12" s="58"/>
      <c r="H12" s="53"/>
      <c r="I12" s="50"/>
      <c r="J12" s="50"/>
      <c r="K12" s="31"/>
      <c r="L12" s="30"/>
    </row>
    <row r="13" spans="1:19" x14ac:dyDescent="0.3">
      <c r="A13" s="31">
        <v>3.5</v>
      </c>
      <c r="B13" s="8">
        <f>MROUND((('Saltire Fees 2023-24'!B13-3)*1.09+3),0.5)</f>
        <v>78</v>
      </c>
      <c r="C13" s="35">
        <f t="shared" si="1"/>
        <v>59.5</v>
      </c>
      <c r="D13" s="56">
        <f>MROUND((('Saltire Fees 2023-24'!D13-5)*1.07+5),0.5)</f>
        <v>79</v>
      </c>
      <c r="E13" s="40">
        <f t="shared" si="4"/>
        <v>60.5</v>
      </c>
      <c r="F13" s="36"/>
      <c r="G13" s="36"/>
      <c r="H13" s="30"/>
      <c r="K13" s="31"/>
      <c r="L13" s="30"/>
    </row>
    <row r="14" spans="1:19" x14ac:dyDescent="0.3">
      <c r="A14" s="31">
        <v>4</v>
      </c>
      <c r="B14" s="8">
        <f>MROUND((('Saltire Fees 2023-24'!B14-3)*1.09+3),0.5)</f>
        <v>80.5</v>
      </c>
      <c r="C14" s="35">
        <f t="shared" si="1"/>
        <v>61</v>
      </c>
      <c r="D14" s="56">
        <f>MROUND((('Saltire Fees 2023-24'!D14-5)*1.07+5),0.5)</f>
        <v>81</v>
      </c>
      <c r="E14" s="40">
        <f t="shared" si="4"/>
        <v>62</v>
      </c>
      <c r="F14" s="30"/>
      <c r="G14" s="36"/>
      <c r="H14" s="30"/>
      <c r="K14" s="31"/>
      <c r="L14" s="30"/>
    </row>
    <row r="15" spans="1:19" x14ac:dyDescent="0.3">
      <c r="A15" s="31">
        <v>4.25</v>
      </c>
      <c r="B15" s="8">
        <f>MROUND((('Saltire Fees 2023-24'!B15-3)*1.09+3),0.5)</f>
        <v>81.5</v>
      </c>
      <c r="C15" s="35">
        <f t="shared" si="1"/>
        <v>62</v>
      </c>
      <c r="D15" s="56">
        <f>MROUND((('Saltire Fees 2023-24'!D15-5)*1.07+5),0.5)</f>
        <v>82</v>
      </c>
      <c r="E15" s="40">
        <f t="shared" si="4"/>
        <v>63</v>
      </c>
      <c r="F15" s="30"/>
      <c r="G15" s="36"/>
      <c r="H15" s="30"/>
      <c r="K15" s="31"/>
      <c r="L15" s="30"/>
    </row>
    <row r="16" spans="1:19" x14ac:dyDescent="0.3">
      <c r="A16" s="31">
        <v>4.5</v>
      </c>
      <c r="B16" s="8">
        <f>MROUND((('Saltire Fees 2023-24'!B16-3)*1.09+3),0.5)</f>
        <v>83</v>
      </c>
      <c r="C16" s="35">
        <f t="shared" si="1"/>
        <v>63</v>
      </c>
      <c r="D16" s="56">
        <f>MROUND((('Saltire Fees 2023-24'!D16-5)*1.07+5),0.5)</f>
        <v>83.5</v>
      </c>
      <c r="E16" s="40">
        <f t="shared" si="4"/>
        <v>64</v>
      </c>
      <c r="F16" s="36"/>
      <c r="G16" s="36"/>
      <c r="H16" s="30"/>
      <c r="K16" s="31"/>
      <c r="L16" s="30"/>
    </row>
    <row r="17" spans="1:12" x14ac:dyDescent="0.3">
      <c r="A17" s="31">
        <v>4.75</v>
      </c>
      <c r="B17" s="8">
        <f>MROUND((('Saltire Fees 2023-24'!B17-3)*1.09+3),0.5)</f>
        <v>84</v>
      </c>
      <c r="C17" s="35">
        <f t="shared" si="1"/>
        <v>64</v>
      </c>
      <c r="D17" s="56">
        <f>MROUND((('Saltire Fees 2023-24'!D17-5)*1.07+5),0.5)</f>
        <v>84.5</v>
      </c>
      <c r="E17" s="40">
        <f t="shared" si="4"/>
        <v>64.5</v>
      </c>
      <c r="F17" s="36"/>
      <c r="G17" s="36"/>
      <c r="H17" s="30"/>
      <c r="K17" s="31"/>
      <c r="L17" s="30"/>
    </row>
    <row r="18" spans="1:12" x14ac:dyDescent="0.3">
      <c r="A18" s="31">
        <v>5</v>
      </c>
      <c r="B18" s="8">
        <f>MROUND((('Saltire Fees 2023-24'!B18-3)*1.09+3),0.5)</f>
        <v>85.5</v>
      </c>
      <c r="C18" s="35">
        <f t="shared" si="1"/>
        <v>65</v>
      </c>
      <c r="D18" s="56">
        <f>MROUND((('Saltire Fees 2023-24'!D18-5)*1.07+5),0.5)</f>
        <v>86</v>
      </c>
      <c r="E18" s="40">
        <f t="shared" si="4"/>
        <v>66</v>
      </c>
      <c r="F18" s="30"/>
      <c r="G18" s="57"/>
      <c r="H18" s="30"/>
      <c r="K18" s="31"/>
      <c r="L18" s="30"/>
    </row>
    <row r="19" spans="1:12" x14ac:dyDescent="0.3">
      <c r="A19" s="31">
        <v>5.25</v>
      </c>
      <c r="B19" s="8">
        <f>MROUND((('Saltire Fees 2023-24'!B19-3)*1.09+3),0.5)</f>
        <v>87</v>
      </c>
      <c r="C19" s="35">
        <f t="shared" si="1"/>
        <v>66</v>
      </c>
      <c r="D19" s="56">
        <f>MROUND((('Saltire Fees 2023-24'!D19-5)*1.07+5),0.5)</f>
        <v>87.5</v>
      </c>
      <c r="E19" s="40">
        <f t="shared" si="4"/>
        <v>67</v>
      </c>
      <c r="F19" s="30"/>
      <c r="G19" s="57"/>
      <c r="H19" s="30"/>
      <c r="K19" s="31"/>
      <c r="L19" s="30"/>
    </row>
    <row r="20" spans="1:12" x14ac:dyDescent="0.3">
      <c r="A20" s="31">
        <v>5.5</v>
      </c>
      <c r="B20" s="8">
        <f>MROUND((('Saltire Fees 2023-24'!B20-3)*1.09+3),0.5)</f>
        <v>90</v>
      </c>
      <c r="C20" s="35">
        <f t="shared" si="1"/>
        <v>68.5</v>
      </c>
      <c r="D20" s="56">
        <f>MROUND((('Saltire Fees 2023-24'!D20-5)*1.07+5),0.5)</f>
        <v>90.5</v>
      </c>
      <c r="E20" s="40">
        <f t="shared" si="4"/>
        <v>69</v>
      </c>
      <c r="F20" s="36"/>
      <c r="G20" s="30"/>
      <c r="H20" s="30"/>
      <c r="K20" s="31"/>
      <c r="L20" s="30"/>
    </row>
    <row r="21" spans="1:12" x14ac:dyDescent="0.3">
      <c r="A21" s="31">
        <v>6</v>
      </c>
      <c r="B21" s="8">
        <f>MROUND((('Saltire Fees 2023-24'!B21-3)*1.09+3),0.5)</f>
        <v>95</v>
      </c>
      <c r="C21" s="35">
        <f t="shared" si="1"/>
        <v>72</v>
      </c>
      <c r="D21" s="56">
        <f>MROUND((('Saltire Fees 2023-24'!D21-5)*1.07+5),0.5)</f>
        <v>95.5</v>
      </c>
      <c r="E21" s="40">
        <f t="shared" si="4"/>
        <v>73</v>
      </c>
      <c r="H21" s="30"/>
      <c r="K21" s="31"/>
      <c r="L21" s="30"/>
    </row>
    <row r="22" spans="1:12" x14ac:dyDescent="0.3">
      <c r="A22" s="31">
        <v>6.25</v>
      </c>
      <c r="B22" s="8">
        <f>MROUND((('Saltire Fees 2023-24'!B22-3)*1.09+3),0.5)</f>
        <v>95.5</v>
      </c>
      <c r="C22" s="35">
        <f t="shared" si="1"/>
        <v>72.5</v>
      </c>
      <c r="D22" s="56">
        <f>MROUND((('Saltire Fees 2023-24'!D22-5)*1.07+5),0.5)</f>
        <v>96</v>
      </c>
      <c r="E22" s="40">
        <f t="shared" si="4"/>
        <v>73.5</v>
      </c>
      <c r="H22" s="30"/>
      <c r="K22" s="31"/>
      <c r="L22" s="30"/>
    </row>
    <row r="23" spans="1:12" x14ac:dyDescent="0.3">
      <c r="A23" s="31">
        <v>6.5</v>
      </c>
      <c r="B23" s="8">
        <f>MROUND((('Saltire Fees 2023-24'!B23-3)*1.09+3),0.5)</f>
        <v>96</v>
      </c>
      <c r="C23" s="35">
        <f t="shared" si="1"/>
        <v>73</v>
      </c>
      <c r="D23" s="56">
        <f>MROUND((('Saltire Fees 2023-24'!D23-5)*1.07+5),0.5)</f>
        <v>96.5</v>
      </c>
      <c r="E23" s="40">
        <f t="shared" si="4"/>
        <v>73.5</v>
      </c>
      <c r="H23" s="30"/>
      <c r="K23" s="31"/>
      <c r="L23" s="30"/>
    </row>
    <row r="24" spans="1:12" x14ac:dyDescent="0.3">
      <c r="A24" s="31">
        <v>6.75</v>
      </c>
      <c r="B24" s="8">
        <f>MROUND((('Saltire Fees 2023-24'!B24-3)*1.09+3),0.5)</f>
        <v>96.5</v>
      </c>
      <c r="C24" s="35">
        <f t="shared" si="1"/>
        <v>73</v>
      </c>
      <c r="D24" s="56">
        <f>MROUND((('Saltire Fees 2023-24'!D24-5)*1.07+5),0.5)</f>
        <v>97</v>
      </c>
      <c r="E24" s="40">
        <f t="shared" si="4"/>
        <v>74</v>
      </c>
      <c r="H24" s="30"/>
      <c r="K24" s="31"/>
      <c r="L24" s="30"/>
    </row>
    <row r="25" spans="1:12" x14ac:dyDescent="0.3">
      <c r="A25" s="31">
        <v>7</v>
      </c>
      <c r="B25" s="8">
        <f>MROUND((('Saltire Fees 2023-24'!B25-3)*1.09+3),0.5)</f>
        <v>97.5</v>
      </c>
      <c r="C25" s="35">
        <f t="shared" si="1"/>
        <v>74</v>
      </c>
      <c r="D25" s="56">
        <f>MROUND((('Saltire Fees 2023-24'!D25-5)*1.07+5),0.5)</f>
        <v>97.5</v>
      </c>
      <c r="E25" s="40">
        <f t="shared" si="4"/>
        <v>74.5</v>
      </c>
      <c r="F25" s="30"/>
      <c r="H25" s="30"/>
      <c r="K25" s="31"/>
      <c r="L25" s="30"/>
    </row>
    <row r="26" spans="1:12" x14ac:dyDescent="0.3">
      <c r="A26" s="31">
        <v>7.25</v>
      </c>
      <c r="B26" s="8">
        <f>MROUND((('Saltire Fees 2023-24'!B26-3)*1.09+3),0.5)</f>
        <v>98</v>
      </c>
      <c r="C26" s="35">
        <f t="shared" si="1"/>
        <v>74.5</v>
      </c>
      <c r="D26" s="56">
        <f>MROUND((('Saltire Fees 2023-24'!D26-5)*1.07+5),0.5)</f>
        <v>98</v>
      </c>
      <c r="E26" s="40">
        <f t="shared" si="4"/>
        <v>75</v>
      </c>
      <c r="F26" s="30"/>
      <c r="H26" s="30"/>
      <c r="K26" s="31"/>
      <c r="L26" s="30"/>
    </row>
    <row r="27" spans="1:12" x14ac:dyDescent="0.3">
      <c r="A27" s="31">
        <v>7.5</v>
      </c>
      <c r="B27" s="8">
        <f>MROUND((('Saltire Fees 2023-24'!B27-3)*1.09+3),0.5)</f>
        <v>98.5</v>
      </c>
      <c r="C27" s="35">
        <f t="shared" si="1"/>
        <v>74.5</v>
      </c>
      <c r="D27" s="56">
        <f>MROUND((('Saltire Fees 2023-24'!D27-5)*1.07+5),0.5)</f>
        <v>98.5</v>
      </c>
      <c r="E27" s="40">
        <f t="shared" ref="E27:E49" si="5">MROUND(((D27-5)-((D27-5)*0.25)+5),0.5)</f>
        <v>75</v>
      </c>
      <c r="H27" s="30"/>
      <c r="K27" s="31"/>
      <c r="L27" s="30"/>
    </row>
    <row r="28" spans="1:12" x14ac:dyDescent="0.3">
      <c r="A28" s="31">
        <v>7.75</v>
      </c>
      <c r="B28" s="8">
        <f>MROUND((('Saltire Fees 2023-24'!B28-3)*1.09+3),0.5)</f>
        <v>99.5</v>
      </c>
      <c r="C28" s="35">
        <f t="shared" si="1"/>
        <v>75.5</v>
      </c>
      <c r="D28" s="56">
        <f>MROUND((('Saltire Fees 2023-24'!D28-5)*1.07+5),0.5)</f>
        <v>99</v>
      </c>
      <c r="E28" s="40">
        <f t="shared" si="5"/>
        <v>75.5</v>
      </c>
      <c r="H28" s="30"/>
      <c r="K28" s="31"/>
      <c r="L28" s="30"/>
    </row>
    <row r="29" spans="1:12" x14ac:dyDescent="0.3">
      <c r="A29" s="31">
        <v>8</v>
      </c>
      <c r="B29" s="8">
        <f>MROUND((('Saltire Fees 2023-24'!B29-3)*1.09+3),0.5)</f>
        <v>101</v>
      </c>
      <c r="C29" s="35">
        <f t="shared" si="1"/>
        <v>76.5</v>
      </c>
      <c r="D29" s="56">
        <f>MROUND((('Saltire Fees 2023-24'!D29-5)*1.07+5),0.5)</f>
        <v>101.5</v>
      </c>
      <c r="E29" s="40">
        <f t="shared" si="5"/>
        <v>77.5</v>
      </c>
      <c r="H29" s="30"/>
      <c r="K29" s="31"/>
      <c r="L29" s="30"/>
    </row>
    <row r="30" spans="1:12" x14ac:dyDescent="0.3">
      <c r="A30" s="31">
        <v>8.25</v>
      </c>
      <c r="B30" s="8">
        <f>MROUND((('Saltire Fees 2023-24'!B30-3)*1.09+3),0.5)</f>
        <v>102</v>
      </c>
      <c r="C30" s="35">
        <f t="shared" si="1"/>
        <v>77.5</v>
      </c>
      <c r="D30" s="56">
        <f>MROUND((('Saltire Fees 2023-24'!D30-5)*1.07+5),0.5)</f>
        <v>103.5</v>
      </c>
      <c r="E30" s="40">
        <f t="shared" si="5"/>
        <v>79</v>
      </c>
      <c r="H30" s="30"/>
      <c r="K30" s="31"/>
      <c r="L30" s="30"/>
    </row>
    <row r="31" spans="1:12" x14ac:dyDescent="0.3">
      <c r="A31" s="31">
        <v>8.5</v>
      </c>
      <c r="B31" s="8">
        <f>MROUND((('Saltire Fees 2023-24'!B31-3)*1.09+3),0.5)</f>
        <v>104.5</v>
      </c>
      <c r="C31" s="35">
        <f t="shared" si="1"/>
        <v>79</v>
      </c>
      <c r="D31" s="56">
        <f>MROUND((('Saltire Fees 2023-24'!D31-5)*1.07+5),0.5)</f>
        <v>104.5</v>
      </c>
      <c r="E31" s="40">
        <f t="shared" si="5"/>
        <v>79.5</v>
      </c>
      <c r="H31" s="30"/>
      <c r="K31" s="31"/>
      <c r="L31" s="30"/>
    </row>
    <row r="32" spans="1:12" x14ac:dyDescent="0.3">
      <c r="A32" s="31">
        <v>8.75</v>
      </c>
      <c r="B32" s="8">
        <f>MROUND((('Saltire Fees 2023-24'!B32-3)*1.09+3),0.5)</f>
        <v>106</v>
      </c>
      <c r="C32" s="35">
        <f t="shared" si="1"/>
        <v>80.5</v>
      </c>
      <c r="D32" s="56">
        <f>MROUND((('Saltire Fees 2023-24'!D32-5)*1.07+5),0.5)</f>
        <v>107</v>
      </c>
      <c r="E32" s="40">
        <f t="shared" si="5"/>
        <v>81.5</v>
      </c>
      <c r="H32" s="30"/>
      <c r="K32" s="31"/>
      <c r="L32" s="30"/>
    </row>
    <row r="33" spans="1:12" x14ac:dyDescent="0.3">
      <c r="A33" s="31">
        <v>9</v>
      </c>
      <c r="B33" s="8">
        <f>MROUND((('Saltire Fees 2023-24'!B33-3)*1.09+3),0.5)</f>
        <v>107.5</v>
      </c>
      <c r="C33" s="35">
        <f t="shared" si="1"/>
        <v>81.5</v>
      </c>
      <c r="D33" s="56">
        <f>MROUND((('Saltire Fees 2023-24'!D33-5)*1.07+5),0.5)</f>
        <v>108</v>
      </c>
      <c r="E33" s="40">
        <f t="shared" si="5"/>
        <v>82.5</v>
      </c>
      <c r="H33" s="30"/>
      <c r="K33" s="31"/>
      <c r="L33" s="30"/>
    </row>
    <row r="34" spans="1:12" x14ac:dyDescent="0.3">
      <c r="A34" s="31">
        <v>9.25</v>
      </c>
      <c r="B34" s="8">
        <f>MROUND((('Saltire Fees 2023-24'!B34-3)*1.09+3),0.5)</f>
        <v>108</v>
      </c>
      <c r="C34" s="35">
        <f t="shared" si="1"/>
        <v>82</v>
      </c>
      <c r="D34" s="56">
        <f>MROUND((('Saltire Fees 2023-24'!D34-5)*1.07+5),0.5)</f>
        <v>108.5</v>
      </c>
      <c r="E34" s="40">
        <f t="shared" si="5"/>
        <v>82.5</v>
      </c>
      <c r="H34" s="30"/>
      <c r="K34" s="31"/>
      <c r="L34" s="30"/>
    </row>
    <row r="35" spans="1:12" x14ac:dyDescent="0.3">
      <c r="A35" s="31">
        <v>9.5</v>
      </c>
      <c r="B35" s="8">
        <f>MROUND((('Saltire Fees 2023-24'!B35-3)*1.09+3),0.5)</f>
        <v>108</v>
      </c>
      <c r="C35" s="35">
        <f t="shared" si="1"/>
        <v>82</v>
      </c>
      <c r="D35" s="56">
        <f>MROUND((('Saltire Fees 2023-24'!D35-5)*1.07+5),0.5)</f>
        <v>109.5</v>
      </c>
      <c r="E35" s="40">
        <f t="shared" si="5"/>
        <v>83.5</v>
      </c>
      <c r="H35" s="30"/>
      <c r="K35" s="31"/>
      <c r="L35" s="30"/>
    </row>
    <row r="36" spans="1:12" x14ac:dyDescent="0.3">
      <c r="A36" s="31">
        <v>9.75</v>
      </c>
      <c r="B36" s="8">
        <f>MROUND((('Saltire Fees 2023-24'!B36-3)*1.09+3),0.5)</f>
        <v>108.5</v>
      </c>
      <c r="C36" s="35">
        <f>MROUND(((B36-3)-((B36-3)*0.25)+3),0.5)+0.5</f>
        <v>82.5</v>
      </c>
      <c r="D36" s="56">
        <f>MROUND((('Saltire Fees 2023-24'!D36-5)*1.07+5),0.5)</f>
        <v>110</v>
      </c>
      <c r="E36" s="40">
        <f t="shared" si="5"/>
        <v>84</v>
      </c>
      <c r="H36" s="30"/>
      <c r="K36" s="31"/>
      <c r="L36" s="30"/>
    </row>
    <row r="37" spans="1:12" x14ac:dyDescent="0.3">
      <c r="A37" s="31">
        <v>10</v>
      </c>
      <c r="B37" s="8">
        <f>MROUND((('Saltire Fees 2023-24'!B37-3)*1.09+3),0.5)</f>
        <v>110.5</v>
      </c>
      <c r="C37" s="35">
        <f t="shared" si="1"/>
        <v>83.5</v>
      </c>
      <c r="D37" s="56">
        <f>MROUND((('Saltire Fees 2023-24'!D37-5)*1.07+5),0.5)</f>
        <v>110.5</v>
      </c>
      <c r="E37" s="40">
        <f t="shared" si="5"/>
        <v>84</v>
      </c>
      <c r="H37" s="30"/>
      <c r="K37" s="31"/>
      <c r="L37" s="30"/>
    </row>
    <row r="38" spans="1:12" x14ac:dyDescent="0.3">
      <c r="A38" s="31">
        <v>10.25</v>
      </c>
      <c r="B38" s="8">
        <f>MROUND((('Saltire Fees 2023-24'!B38-3)*1.09+3),0.5)</f>
        <v>111</v>
      </c>
      <c r="C38" s="35">
        <f t="shared" si="1"/>
        <v>84</v>
      </c>
      <c r="D38" s="56">
        <f>MROUND((('Saltire Fees 2023-24'!D38-5)*1.07+5),0.5)</f>
        <v>111</v>
      </c>
      <c r="E38" s="40">
        <f t="shared" si="5"/>
        <v>84.5</v>
      </c>
      <c r="H38" s="30"/>
      <c r="K38" s="31"/>
      <c r="L38" s="30"/>
    </row>
    <row r="39" spans="1:12" x14ac:dyDescent="0.3">
      <c r="A39" s="31">
        <v>10.5</v>
      </c>
      <c r="B39" s="8">
        <f>MROUND((('Saltire Fees 2023-24'!B39-3)*1.09+3),0.5)</f>
        <v>111.5</v>
      </c>
      <c r="C39" s="35">
        <f t="shared" si="1"/>
        <v>84.5</v>
      </c>
      <c r="D39" s="56">
        <f>MROUND((('Saltire Fees 2023-24'!D39-5)*1.07+5),0.5)</f>
        <v>111.5</v>
      </c>
      <c r="E39" s="40">
        <f t="shared" si="5"/>
        <v>85</v>
      </c>
      <c r="H39" s="30"/>
      <c r="K39" s="31"/>
      <c r="L39" s="30"/>
    </row>
    <row r="40" spans="1:12" x14ac:dyDescent="0.3">
      <c r="A40" s="31">
        <v>10.75</v>
      </c>
      <c r="B40" s="8">
        <f>MROUND((('Saltire Fees 2023-24'!B40-3)*1.09+3),0.5)</f>
        <v>112.5</v>
      </c>
      <c r="C40" s="35">
        <f t="shared" si="1"/>
        <v>85</v>
      </c>
      <c r="D40" s="56">
        <f>MROUND((('Saltire Fees 2023-24'!D40-5)*1.07+5),0.5)</f>
        <v>113</v>
      </c>
      <c r="E40" s="40">
        <f t="shared" si="5"/>
        <v>86</v>
      </c>
      <c r="H40" s="30"/>
      <c r="K40" s="31"/>
      <c r="L40" s="30"/>
    </row>
    <row r="41" spans="1:12" x14ac:dyDescent="0.3">
      <c r="A41" s="31">
        <v>11</v>
      </c>
      <c r="B41" s="8">
        <f>MROUND((('Saltire Fees 2023-24'!B41-3)*1.09+3),0.5)</f>
        <v>113.5</v>
      </c>
      <c r="C41" s="35">
        <f t="shared" si="1"/>
        <v>86</v>
      </c>
      <c r="D41" s="56">
        <f>MROUND((('Saltire Fees 2023-24'!D41-5)*1.07+5),0.5)</f>
        <v>114</v>
      </c>
      <c r="E41" s="40">
        <f t="shared" si="5"/>
        <v>87</v>
      </c>
      <c r="H41" s="30"/>
      <c r="K41" s="31"/>
      <c r="L41" s="30"/>
    </row>
    <row r="42" spans="1:12" x14ac:dyDescent="0.3">
      <c r="A42" s="31">
        <v>11.5</v>
      </c>
      <c r="B42" s="8">
        <f>MROUND((('Saltire Fees 2023-24'!B42-3)*1.09+3),0.5)</f>
        <v>115</v>
      </c>
      <c r="C42" s="35">
        <f t="shared" si="1"/>
        <v>87</v>
      </c>
      <c r="D42" s="56">
        <f>MROUND((('Saltire Fees 2023-24'!D42-5)*1.07+5),0.5)</f>
        <v>115</v>
      </c>
      <c r="E42" s="40">
        <f t="shared" si="5"/>
        <v>87.5</v>
      </c>
      <c r="H42" s="30"/>
      <c r="K42" s="31"/>
      <c r="L42" s="30"/>
    </row>
    <row r="43" spans="1:12" x14ac:dyDescent="0.3">
      <c r="A43" s="31">
        <v>11.75</v>
      </c>
      <c r="B43" s="8">
        <f>MROUND((('Saltire Fees 2023-24'!B43-3)*1.09+3),0.5)</f>
        <v>115.5</v>
      </c>
      <c r="C43" s="35">
        <f t="shared" si="1"/>
        <v>87.5</v>
      </c>
      <c r="D43" s="56">
        <f>MROUND((('Saltire Fees 2023-24'!D43-5)*1.07+5),0.5)</f>
        <v>115.5</v>
      </c>
      <c r="E43" s="40">
        <f t="shared" si="5"/>
        <v>88</v>
      </c>
      <c r="H43" s="30"/>
      <c r="K43" s="31"/>
      <c r="L43" s="30"/>
    </row>
    <row r="44" spans="1:12" x14ac:dyDescent="0.3">
      <c r="A44" s="31">
        <v>12</v>
      </c>
      <c r="B44" s="8">
        <f>MROUND((('Saltire Fees 2023-24'!B44-3)*1.09+3),0.5)</f>
        <v>116.5</v>
      </c>
      <c r="C44" s="35">
        <f t="shared" si="1"/>
        <v>88</v>
      </c>
      <c r="D44" s="56">
        <f>MROUND((('Saltire Fees 2023-24'!D44-5)*1.07+5),0.5)</f>
        <v>116.5</v>
      </c>
      <c r="E44" s="40">
        <f t="shared" si="5"/>
        <v>88.5</v>
      </c>
      <c r="H44" s="30"/>
      <c r="K44" s="31"/>
      <c r="L44" s="30"/>
    </row>
    <row r="45" spans="1:12" x14ac:dyDescent="0.3">
      <c r="A45" s="31">
        <v>12.25</v>
      </c>
      <c r="B45" s="8">
        <f>MROUND((('Saltire Fees 2023-24'!B45-3)*1.09+3),0.5)</f>
        <v>117.5</v>
      </c>
      <c r="C45" s="35">
        <f t="shared" si="1"/>
        <v>89</v>
      </c>
      <c r="D45" s="56">
        <f>MROUND((('Saltire Fees 2023-24'!D45-5)*1.07+5),0.5)</f>
        <v>118</v>
      </c>
      <c r="E45" s="40">
        <f t="shared" si="5"/>
        <v>90</v>
      </c>
      <c r="H45" s="30"/>
      <c r="K45" s="31"/>
      <c r="L45" s="30"/>
    </row>
    <row r="46" spans="1:12" x14ac:dyDescent="0.3">
      <c r="A46" s="31">
        <v>12.5</v>
      </c>
      <c r="B46" s="8">
        <f>MROUND((('Saltire Fees 2023-24'!B46-3)*1.09+3),0.5)</f>
        <v>118.5</v>
      </c>
      <c r="C46" s="35">
        <f t="shared" si="1"/>
        <v>89.5</v>
      </c>
      <c r="D46" s="56">
        <f>MROUND((('Saltire Fees 2023-24'!D46-5)*1.07+5),0.5)</f>
        <v>118.5</v>
      </c>
      <c r="E46" s="40">
        <f t="shared" si="5"/>
        <v>90</v>
      </c>
      <c r="H46" s="30"/>
      <c r="K46" s="31"/>
      <c r="L46" s="30"/>
    </row>
    <row r="47" spans="1:12" x14ac:dyDescent="0.3">
      <c r="A47" s="31">
        <v>13</v>
      </c>
      <c r="B47" s="8">
        <f>MROUND((('Saltire Fees 2023-24'!B47-3)*1.09+3),0.5)</f>
        <v>119.5</v>
      </c>
      <c r="C47" s="35">
        <f t="shared" si="1"/>
        <v>90.5</v>
      </c>
      <c r="D47" s="56">
        <f>MROUND((('Saltire Fees 2023-24'!D47-5)*1.07+5),0.5)</f>
        <v>120</v>
      </c>
      <c r="E47" s="40">
        <f t="shared" si="5"/>
        <v>91.5</v>
      </c>
      <c r="H47" s="30"/>
      <c r="K47" s="31"/>
      <c r="L47" s="30"/>
    </row>
    <row r="48" spans="1:12" x14ac:dyDescent="0.3">
      <c r="A48" s="31">
        <v>14</v>
      </c>
      <c r="B48" s="8">
        <f>MROUND((('Saltire Fees 2023-24'!B48-3)*1.09+3),0.5)</f>
        <v>120.5</v>
      </c>
      <c r="C48" s="35">
        <f t="shared" si="1"/>
        <v>91</v>
      </c>
      <c r="D48" s="56">
        <f>MROUND((('Saltire Fees 2023-24'!D48-5)*1.07+5),0.5)</f>
        <v>121</v>
      </c>
      <c r="E48" s="40">
        <f t="shared" si="5"/>
        <v>92</v>
      </c>
      <c r="H48" s="30"/>
      <c r="K48" s="31"/>
      <c r="L48" s="30"/>
    </row>
    <row r="49" spans="1:12" x14ac:dyDescent="0.3">
      <c r="A49" s="31">
        <v>15</v>
      </c>
      <c r="B49" s="8">
        <f>MROUND((('Saltire Fees 2023-24'!B49-3)*1.09+3),0.5)</f>
        <v>124.5</v>
      </c>
      <c r="C49" s="35">
        <f t="shared" si="1"/>
        <v>94</v>
      </c>
      <c r="D49" s="56">
        <f>MROUND((('Saltire Fees 2023-24'!D49-5)*1.07+5),0.5)</f>
        <v>124.5</v>
      </c>
      <c r="E49" s="40">
        <f t="shared" si="5"/>
        <v>94.5</v>
      </c>
      <c r="H49" s="30"/>
      <c r="K49" s="31"/>
      <c r="L49" s="30"/>
    </row>
    <row r="50" spans="1:12" ht="13.8" x14ac:dyDescent="0.25">
      <c r="B50" s="35"/>
      <c r="C50" s="35"/>
      <c r="D50" s="40"/>
      <c r="E50" s="40"/>
      <c r="K50" s="31"/>
    </row>
    <row r="51" spans="1:12" ht="13.8" x14ac:dyDescent="0.25">
      <c r="B51" s="35"/>
      <c r="C51" s="35"/>
      <c r="D51" s="40"/>
      <c r="E51" s="40"/>
      <c r="K51" s="31"/>
    </row>
    <row r="52" spans="1:12" ht="13.8" x14ac:dyDescent="0.25">
      <c r="A52" s="31" t="s">
        <v>38</v>
      </c>
      <c r="K52" s="31"/>
    </row>
    <row r="53" spans="1:12" ht="13.8" x14ac:dyDescent="0.25">
      <c r="A53" s="31" t="s">
        <v>39</v>
      </c>
      <c r="K53" s="31"/>
    </row>
    <row r="55" spans="1:12" ht="13.8" x14ac:dyDescent="0.25">
      <c r="D55" s="37"/>
      <c r="E55" s="37"/>
      <c r="K55" s="31"/>
    </row>
    <row r="56" spans="1:12" ht="13.8" x14ac:dyDescent="0.25">
      <c r="D56" s="37"/>
      <c r="E56" s="37"/>
      <c r="K56" s="31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A960-E62D-AD45-BF78-78D54321174F}">
  <sheetPr codeName="Sheet1">
    <pageSetUpPr fitToPage="1"/>
  </sheetPr>
  <dimension ref="A1:S56"/>
  <sheetViews>
    <sheetView topLeftCell="A3" zoomScale="140" zoomScaleNormal="140" workbookViewId="0">
      <selection activeCell="D18" sqref="D18"/>
    </sheetView>
  </sheetViews>
  <sheetFormatPr defaultColWidth="8.77734375" defaultRowHeight="14.4" x14ac:dyDescent="0.3"/>
  <cols>
    <col min="1" max="1" width="17.6640625" style="31" customWidth="1"/>
    <col min="2" max="3" width="12.77734375" style="30" customWidth="1"/>
    <col min="4" max="5" width="13.44140625" style="31" customWidth="1"/>
    <col min="6" max="8" width="8.77734375" style="31"/>
    <col min="9" max="10" width="10.109375" style="31" customWidth="1"/>
    <col min="12" max="16384" width="8.77734375" style="31"/>
  </cols>
  <sheetData>
    <row r="1" spans="1:19" ht="21" x14ac:dyDescent="0.4">
      <c r="A1" s="29" t="s">
        <v>34</v>
      </c>
    </row>
    <row r="2" spans="1:19" ht="69.599999999999994" x14ac:dyDescent="0.3">
      <c r="A2" s="32" t="s">
        <v>0</v>
      </c>
      <c r="B2" s="33" t="s">
        <v>30</v>
      </c>
      <c r="C2" s="33" t="s">
        <v>32</v>
      </c>
      <c r="D2" s="39" t="s">
        <v>31</v>
      </c>
      <c r="E2" s="39" t="s">
        <v>32</v>
      </c>
      <c r="F2" s="41" t="s">
        <v>35</v>
      </c>
      <c r="G2" s="42" t="s">
        <v>32</v>
      </c>
      <c r="H2" s="51" t="s">
        <v>28</v>
      </c>
      <c r="I2" s="45" t="s">
        <v>29</v>
      </c>
      <c r="J2" s="46" t="s">
        <v>32</v>
      </c>
      <c r="N2" s="34"/>
      <c r="O2" s="34"/>
    </row>
    <row r="3" spans="1:19" ht="13.8" x14ac:dyDescent="0.25">
      <c r="A3" s="38">
        <v>0.75</v>
      </c>
      <c r="B3" s="54"/>
      <c r="C3" s="54"/>
      <c r="D3" s="54"/>
      <c r="E3" s="54"/>
      <c r="F3" s="55">
        <v>27.25</v>
      </c>
      <c r="G3" s="43">
        <v>21.25</v>
      </c>
      <c r="H3" s="52"/>
      <c r="I3" s="47">
        <v>24</v>
      </c>
      <c r="J3" s="48">
        <v>18.5</v>
      </c>
      <c r="K3" s="31"/>
      <c r="N3" s="34"/>
      <c r="O3" s="34"/>
    </row>
    <row r="4" spans="1:19" ht="13.8" x14ac:dyDescent="0.25">
      <c r="A4" s="38">
        <v>0.75</v>
      </c>
      <c r="B4" s="54"/>
      <c r="C4" s="54"/>
      <c r="D4" s="54"/>
      <c r="E4" s="54"/>
      <c r="F4" s="54"/>
      <c r="G4" s="54"/>
      <c r="H4" s="52"/>
      <c r="I4" s="47">
        <v>25</v>
      </c>
      <c r="J4" s="48">
        <v>19.25</v>
      </c>
      <c r="K4" s="31" t="s">
        <v>33</v>
      </c>
      <c r="N4" s="34"/>
      <c r="O4" s="34"/>
    </row>
    <row r="5" spans="1:19" x14ac:dyDescent="0.3">
      <c r="A5" s="31">
        <v>1</v>
      </c>
      <c r="B5" s="8">
        <v>31.5</v>
      </c>
      <c r="C5" s="35">
        <v>24.5</v>
      </c>
      <c r="D5" s="56">
        <v>33.75</v>
      </c>
      <c r="E5" s="40">
        <v>26.71</v>
      </c>
      <c r="F5" s="43">
        <v>31.5</v>
      </c>
      <c r="G5" s="43">
        <v>24.5</v>
      </c>
      <c r="H5" s="53">
        <v>8.75</v>
      </c>
      <c r="I5" s="49">
        <v>30.5</v>
      </c>
      <c r="J5" s="48">
        <v>23.5</v>
      </c>
      <c r="K5" s="31"/>
      <c r="L5" s="30"/>
      <c r="N5" s="34"/>
      <c r="O5" s="34"/>
    </row>
    <row r="6" spans="1:19" x14ac:dyDescent="0.3">
      <c r="A6" s="31">
        <v>1.5</v>
      </c>
      <c r="B6" s="8">
        <v>45.75</v>
      </c>
      <c r="C6" s="35">
        <v>35</v>
      </c>
      <c r="D6" s="56">
        <v>48</v>
      </c>
      <c r="E6" s="40">
        <v>37.25</v>
      </c>
      <c r="F6" s="43">
        <v>45.75</v>
      </c>
      <c r="G6" s="43">
        <v>35.25</v>
      </c>
      <c r="H6" s="53">
        <v>11.75</v>
      </c>
      <c r="I6" s="49">
        <v>44.75</v>
      </c>
      <c r="J6" s="48">
        <v>34</v>
      </c>
      <c r="K6" s="31"/>
      <c r="L6" s="30"/>
      <c r="N6" s="34"/>
    </row>
    <row r="7" spans="1:19" ht="15.6" x14ac:dyDescent="0.3">
      <c r="A7" s="31">
        <v>2</v>
      </c>
      <c r="B7" s="8">
        <v>53.5</v>
      </c>
      <c r="C7" s="35">
        <v>41</v>
      </c>
      <c r="D7" s="56">
        <v>55.5</v>
      </c>
      <c r="E7" s="40">
        <v>43</v>
      </c>
      <c r="F7" s="44">
        <v>53.5</v>
      </c>
      <c r="G7" s="43">
        <v>40.75</v>
      </c>
      <c r="H7" s="53"/>
      <c r="I7" s="50"/>
      <c r="J7" s="50"/>
      <c r="K7" s="31"/>
      <c r="L7" s="30"/>
      <c r="N7" s="34"/>
      <c r="S7" s="9"/>
    </row>
    <row r="8" spans="1:19" ht="15.6" x14ac:dyDescent="0.3">
      <c r="A8" s="31">
        <v>2.25</v>
      </c>
      <c r="B8" s="8">
        <v>56</v>
      </c>
      <c r="C8" s="35"/>
      <c r="D8" s="56">
        <v>58</v>
      </c>
      <c r="E8" s="40"/>
      <c r="F8" s="44"/>
      <c r="G8" s="43"/>
      <c r="H8" s="53"/>
      <c r="I8" s="50"/>
      <c r="J8" s="50"/>
      <c r="K8" s="31"/>
      <c r="L8" s="30"/>
      <c r="N8" s="34"/>
      <c r="S8" s="9"/>
    </row>
    <row r="9" spans="1:19" ht="15.6" x14ac:dyDescent="0.3">
      <c r="A9" s="31">
        <v>2.5</v>
      </c>
      <c r="B9" s="8">
        <v>61</v>
      </c>
      <c r="C9" s="35">
        <v>46</v>
      </c>
      <c r="D9" s="56">
        <v>61</v>
      </c>
      <c r="E9" s="40">
        <v>47.25</v>
      </c>
      <c r="F9" s="44">
        <v>58.75</v>
      </c>
      <c r="G9" s="43">
        <v>45</v>
      </c>
      <c r="H9" s="53"/>
      <c r="I9" s="50"/>
      <c r="J9" s="50"/>
      <c r="K9" s="31"/>
      <c r="L9" s="30"/>
      <c r="N9" s="34"/>
      <c r="S9" s="9"/>
    </row>
    <row r="10" spans="1:19" ht="15.6" x14ac:dyDescent="0.3">
      <c r="A10" s="31">
        <v>2.75</v>
      </c>
      <c r="B10" s="8">
        <v>65</v>
      </c>
      <c r="C10" s="35">
        <v>49.5</v>
      </c>
      <c r="D10" s="56">
        <v>65</v>
      </c>
      <c r="E10" s="40">
        <f t="shared" ref="E10" si="0">MROUND(((D10-5)-((D10-5)*0.25)+5),0.5)</f>
        <v>50</v>
      </c>
      <c r="F10" s="44"/>
      <c r="G10" s="43"/>
      <c r="H10" s="53"/>
      <c r="I10" s="50"/>
      <c r="J10" s="50"/>
      <c r="K10" s="31"/>
      <c r="L10" s="30"/>
      <c r="N10" s="34"/>
      <c r="S10" s="9"/>
    </row>
    <row r="11" spans="1:19" x14ac:dyDescent="0.3">
      <c r="A11" s="31">
        <v>3</v>
      </c>
      <c r="B11" s="8">
        <v>68</v>
      </c>
      <c r="C11" s="35">
        <v>51</v>
      </c>
      <c r="D11" s="56">
        <v>69</v>
      </c>
      <c r="E11" s="40">
        <v>52</v>
      </c>
      <c r="F11" s="44">
        <v>69.75</v>
      </c>
      <c r="G11" s="43">
        <v>53</v>
      </c>
      <c r="H11" s="53">
        <v>14.5</v>
      </c>
      <c r="I11" s="50"/>
      <c r="J11" s="50"/>
      <c r="K11" s="31"/>
      <c r="L11" s="30"/>
    </row>
    <row r="12" spans="1:19" x14ac:dyDescent="0.3">
      <c r="A12" s="31">
        <v>3.25</v>
      </c>
      <c r="B12" s="8">
        <v>70</v>
      </c>
      <c r="C12" s="35"/>
      <c r="D12" s="56">
        <v>71</v>
      </c>
      <c r="E12" s="40"/>
      <c r="F12" s="44"/>
      <c r="G12" s="43"/>
      <c r="H12" s="53"/>
      <c r="I12" s="50"/>
      <c r="J12" s="50"/>
      <c r="K12" s="31"/>
      <c r="L12" s="30"/>
    </row>
    <row r="13" spans="1:19" x14ac:dyDescent="0.3">
      <c r="A13" s="31">
        <v>3.5</v>
      </c>
      <c r="B13" s="8">
        <v>72</v>
      </c>
      <c r="C13" s="35">
        <v>54.75</v>
      </c>
      <c r="D13" s="56">
        <v>74</v>
      </c>
      <c r="E13" s="40">
        <v>56</v>
      </c>
      <c r="F13" s="36"/>
      <c r="G13" s="36"/>
      <c r="H13" s="30"/>
      <c r="K13" s="31"/>
      <c r="L13" s="30"/>
    </row>
    <row r="14" spans="1:19" x14ac:dyDescent="0.3">
      <c r="A14" s="31">
        <v>4</v>
      </c>
      <c r="B14" s="8">
        <v>74</v>
      </c>
      <c r="C14" s="35">
        <v>56</v>
      </c>
      <c r="D14" s="56">
        <v>76</v>
      </c>
      <c r="E14" s="40">
        <v>57</v>
      </c>
      <c r="F14" s="36"/>
      <c r="G14" s="36"/>
      <c r="H14" s="30"/>
      <c r="J14" s="31">
        <f>31.5-3</f>
        <v>28.5</v>
      </c>
      <c r="K14" s="31"/>
      <c r="L14" s="30"/>
    </row>
    <row r="15" spans="1:19" x14ac:dyDescent="0.3">
      <c r="A15" s="31">
        <v>4.25</v>
      </c>
      <c r="B15" s="8">
        <v>75</v>
      </c>
      <c r="C15" s="35"/>
      <c r="D15" s="56">
        <v>77</v>
      </c>
      <c r="E15" s="40"/>
      <c r="F15" s="36"/>
      <c r="G15" s="36"/>
      <c r="H15" s="30"/>
      <c r="K15" s="31"/>
      <c r="L15" s="30"/>
    </row>
    <row r="16" spans="1:19" x14ac:dyDescent="0.3">
      <c r="A16" s="31">
        <v>4.5</v>
      </c>
      <c r="B16" s="8">
        <v>76.25</v>
      </c>
      <c r="C16" s="35">
        <v>58</v>
      </c>
      <c r="D16" s="56">
        <v>78.5</v>
      </c>
      <c r="E16" s="40">
        <v>60</v>
      </c>
      <c r="F16" s="36"/>
      <c r="G16" s="36"/>
      <c r="H16" s="30"/>
      <c r="J16" s="31">
        <f>J14/4.33</f>
        <v>6.5819861431870672</v>
      </c>
      <c r="K16" s="31"/>
      <c r="L16" s="30"/>
    </row>
    <row r="17" spans="1:12" x14ac:dyDescent="0.3">
      <c r="A17" s="31">
        <v>4.75</v>
      </c>
      <c r="B17" s="8">
        <v>77.5</v>
      </c>
      <c r="C17" s="35"/>
      <c r="D17" s="56">
        <v>79.5</v>
      </c>
      <c r="E17" s="40"/>
      <c r="F17" s="36"/>
      <c r="G17" s="36"/>
      <c r="H17" s="30"/>
      <c r="K17" s="31"/>
      <c r="L17" s="30"/>
    </row>
    <row r="18" spans="1:12" x14ac:dyDescent="0.3">
      <c r="A18" s="31">
        <v>5</v>
      </c>
      <c r="B18" s="8">
        <v>78.5</v>
      </c>
      <c r="C18" s="35">
        <v>59.75</v>
      </c>
      <c r="D18" s="56">
        <v>80.5</v>
      </c>
      <c r="E18" s="40">
        <v>62</v>
      </c>
      <c r="F18" s="36"/>
      <c r="G18" s="36"/>
      <c r="H18" s="30"/>
      <c r="K18" s="31"/>
      <c r="L18" s="30"/>
    </row>
    <row r="19" spans="1:12" x14ac:dyDescent="0.3">
      <c r="A19" s="31">
        <v>5.25</v>
      </c>
      <c r="B19" s="8">
        <v>80</v>
      </c>
      <c r="C19" s="35"/>
      <c r="D19" s="56">
        <v>82</v>
      </c>
      <c r="E19" s="40"/>
      <c r="F19" s="36"/>
      <c r="G19" s="36"/>
      <c r="H19" s="30"/>
      <c r="K19" s="31"/>
      <c r="L19" s="30"/>
    </row>
    <row r="20" spans="1:12" x14ac:dyDescent="0.3">
      <c r="A20" s="31">
        <v>5.5</v>
      </c>
      <c r="B20" s="8">
        <v>83</v>
      </c>
      <c r="C20" s="35">
        <v>63</v>
      </c>
      <c r="D20" s="56">
        <v>85</v>
      </c>
      <c r="E20" s="40">
        <v>65</v>
      </c>
      <c r="F20" s="36"/>
      <c r="G20" s="36"/>
      <c r="H20" s="30"/>
      <c r="K20" s="31"/>
      <c r="L20" s="30"/>
    </row>
    <row r="21" spans="1:12" x14ac:dyDescent="0.3">
      <c r="A21" s="31">
        <v>6</v>
      </c>
      <c r="B21" s="8">
        <v>87.25</v>
      </c>
      <c r="C21" s="35">
        <v>66.25</v>
      </c>
      <c r="D21" s="56">
        <v>89.5</v>
      </c>
      <c r="E21" s="40">
        <v>68.5</v>
      </c>
      <c r="H21" s="30"/>
      <c r="K21" s="31"/>
      <c r="L21" s="30"/>
    </row>
    <row r="22" spans="1:12" x14ac:dyDescent="0.3">
      <c r="A22" s="31">
        <v>6.25</v>
      </c>
      <c r="B22" s="8">
        <v>88</v>
      </c>
      <c r="C22" s="35"/>
      <c r="D22" s="56">
        <v>90</v>
      </c>
      <c r="E22" s="40"/>
      <c r="H22" s="30"/>
      <c r="K22" s="31"/>
      <c r="L22" s="30"/>
    </row>
    <row r="23" spans="1:12" x14ac:dyDescent="0.3">
      <c r="A23" s="31">
        <v>6.5</v>
      </c>
      <c r="B23" s="8">
        <v>88.5</v>
      </c>
      <c r="C23" s="35">
        <v>67</v>
      </c>
      <c r="D23" s="56">
        <v>90.5</v>
      </c>
      <c r="E23" s="40">
        <v>69.25</v>
      </c>
      <c r="H23" s="30"/>
      <c r="K23" s="31"/>
      <c r="L23" s="30"/>
    </row>
    <row r="24" spans="1:12" x14ac:dyDescent="0.3">
      <c r="A24" s="31">
        <v>6.75</v>
      </c>
      <c r="B24" s="8">
        <v>89</v>
      </c>
      <c r="C24" s="35">
        <v>67.5</v>
      </c>
      <c r="D24" s="56">
        <v>91</v>
      </c>
      <c r="E24" s="40">
        <v>69.5</v>
      </c>
      <c r="H24" s="30"/>
      <c r="K24" s="31"/>
      <c r="L24" s="30"/>
    </row>
    <row r="25" spans="1:12" x14ac:dyDescent="0.3">
      <c r="A25" s="31">
        <v>7</v>
      </c>
      <c r="B25" s="8">
        <v>89.5</v>
      </c>
      <c r="C25" s="35">
        <v>68</v>
      </c>
      <c r="D25" s="56">
        <v>91.5</v>
      </c>
      <c r="E25" s="40">
        <v>70</v>
      </c>
      <c r="H25" s="30"/>
      <c r="K25" s="31"/>
      <c r="L25" s="30"/>
    </row>
    <row r="26" spans="1:12" x14ac:dyDescent="0.3">
      <c r="A26" s="31">
        <v>7.25</v>
      </c>
      <c r="B26" s="8">
        <v>90</v>
      </c>
      <c r="C26" s="35"/>
      <c r="D26" s="56">
        <v>92</v>
      </c>
      <c r="E26" s="40"/>
      <c r="H26" s="30"/>
      <c r="K26" s="31"/>
      <c r="L26" s="30"/>
    </row>
    <row r="27" spans="1:12" x14ac:dyDescent="0.3">
      <c r="A27" s="31">
        <v>7.5</v>
      </c>
      <c r="B27" s="8">
        <v>90.5</v>
      </c>
      <c r="C27" s="35">
        <v>68.75</v>
      </c>
      <c r="D27" s="56">
        <v>92.5</v>
      </c>
      <c r="E27" s="40">
        <v>70.75</v>
      </c>
      <c r="H27" s="30"/>
      <c r="K27" s="31"/>
      <c r="L27" s="30"/>
    </row>
    <row r="28" spans="1:12" x14ac:dyDescent="0.3">
      <c r="A28" s="31">
        <v>7.75</v>
      </c>
      <c r="B28" s="8">
        <v>91.5</v>
      </c>
      <c r="C28" s="35">
        <v>69.5</v>
      </c>
      <c r="D28" s="56">
        <v>93</v>
      </c>
      <c r="E28" s="40">
        <v>71.5</v>
      </c>
      <c r="H28" s="30"/>
      <c r="K28" s="31"/>
      <c r="L28" s="30"/>
    </row>
    <row r="29" spans="1:12" x14ac:dyDescent="0.3">
      <c r="A29" s="31">
        <v>8</v>
      </c>
      <c r="B29" s="8">
        <v>92.75</v>
      </c>
      <c r="C29" s="35">
        <v>70.25</v>
      </c>
      <c r="D29" s="56">
        <v>95</v>
      </c>
      <c r="E29" s="40">
        <v>72.5</v>
      </c>
      <c r="H29" s="30"/>
      <c r="K29" s="31"/>
      <c r="L29" s="30"/>
    </row>
    <row r="30" spans="1:12" x14ac:dyDescent="0.3">
      <c r="A30" s="31">
        <v>8.25</v>
      </c>
      <c r="B30" s="8">
        <v>94</v>
      </c>
      <c r="C30" s="35">
        <v>71.25</v>
      </c>
      <c r="D30" s="56">
        <v>97</v>
      </c>
      <c r="E30" s="40">
        <v>73.5</v>
      </c>
      <c r="H30" s="30"/>
      <c r="K30" s="31"/>
      <c r="L30" s="30"/>
    </row>
    <row r="31" spans="1:12" x14ac:dyDescent="0.3">
      <c r="A31" s="31">
        <v>8.5</v>
      </c>
      <c r="B31" s="8">
        <v>96</v>
      </c>
      <c r="C31" s="35">
        <v>72.75</v>
      </c>
      <c r="D31" s="56">
        <v>98</v>
      </c>
      <c r="E31" s="40">
        <v>75</v>
      </c>
      <c r="H31" s="30"/>
      <c r="K31" s="31"/>
      <c r="L31" s="30"/>
    </row>
    <row r="32" spans="1:12" x14ac:dyDescent="0.3">
      <c r="A32" s="31">
        <v>8.75</v>
      </c>
      <c r="B32" s="8">
        <v>97.5</v>
      </c>
      <c r="C32" s="35">
        <v>74</v>
      </c>
      <c r="D32" s="56">
        <v>100.5</v>
      </c>
      <c r="E32" s="40">
        <v>76.5</v>
      </c>
      <c r="H32" s="30"/>
      <c r="K32" s="31"/>
      <c r="L32" s="30"/>
    </row>
    <row r="33" spans="1:12" x14ac:dyDescent="0.3">
      <c r="A33" s="31">
        <v>9</v>
      </c>
      <c r="B33" s="8">
        <v>99</v>
      </c>
      <c r="C33" s="35">
        <v>75.25</v>
      </c>
      <c r="D33" s="56">
        <v>101.25</v>
      </c>
      <c r="E33" s="40">
        <v>77.5</v>
      </c>
      <c r="H33" s="30"/>
      <c r="K33" s="31"/>
      <c r="L33" s="30"/>
    </row>
    <row r="34" spans="1:12" x14ac:dyDescent="0.3">
      <c r="A34" s="31">
        <v>9.25</v>
      </c>
      <c r="B34" s="8">
        <v>99.25</v>
      </c>
      <c r="C34" s="35">
        <v>75.25</v>
      </c>
      <c r="D34" s="56">
        <v>101.75</v>
      </c>
      <c r="E34" s="40">
        <v>78</v>
      </c>
      <c r="H34" s="30"/>
      <c r="K34" s="31"/>
      <c r="L34" s="30"/>
    </row>
    <row r="35" spans="1:12" x14ac:dyDescent="0.3">
      <c r="A35" s="31">
        <v>9.5</v>
      </c>
      <c r="B35" s="8">
        <v>99.5</v>
      </c>
      <c r="C35" s="35">
        <v>76</v>
      </c>
      <c r="D35" s="56">
        <v>102.5</v>
      </c>
      <c r="E35" s="40">
        <v>78.25</v>
      </c>
      <c r="H35" s="30"/>
      <c r="K35" s="31"/>
      <c r="L35" s="30"/>
    </row>
    <row r="36" spans="1:12" x14ac:dyDescent="0.3">
      <c r="A36" s="31">
        <v>9.75</v>
      </c>
      <c r="B36" s="8">
        <v>100</v>
      </c>
      <c r="C36" s="35">
        <v>76.5</v>
      </c>
      <c r="D36" s="56">
        <v>103</v>
      </c>
      <c r="E36" s="40">
        <v>78.5</v>
      </c>
      <c r="H36" s="30"/>
      <c r="K36" s="31"/>
      <c r="L36" s="30"/>
    </row>
    <row r="37" spans="1:12" x14ac:dyDescent="0.3">
      <c r="A37" s="31">
        <v>10</v>
      </c>
      <c r="B37" s="8">
        <v>101.5</v>
      </c>
      <c r="C37" s="35">
        <v>76.75</v>
      </c>
      <c r="D37" s="56">
        <v>103.5</v>
      </c>
      <c r="E37" s="40">
        <v>79</v>
      </c>
      <c r="H37" s="30"/>
      <c r="K37" s="31"/>
      <c r="L37" s="30"/>
    </row>
    <row r="38" spans="1:12" x14ac:dyDescent="0.3">
      <c r="A38" s="31">
        <v>10.25</v>
      </c>
      <c r="B38" s="8">
        <v>102</v>
      </c>
      <c r="C38" s="35">
        <v>77</v>
      </c>
      <c r="D38" s="56">
        <v>104</v>
      </c>
      <c r="E38" s="40">
        <v>79.5</v>
      </c>
      <c r="H38" s="30"/>
      <c r="K38" s="31"/>
      <c r="L38" s="30"/>
    </row>
    <row r="39" spans="1:12" x14ac:dyDescent="0.3">
      <c r="A39" s="31">
        <v>10.5</v>
      </c>
      <c r="B39" s="8">
        <v>102.5</v>
      </c>
      <c r="C39" s="35">
        <v>77.5</v>
      </c>
      <c r="D39" s="56">
        <v>104.5</v>
      </c>
      <c r="E39" s="40">
        <v>79.75</v>
      </c>
      <c r="H39" s="30"/>
      <c r="K39" s="31"/>
      <c r="L39" s="30"/>
    </row>
    <row r="40" spans="1:12" x14ac:dyDescent="0.3">
      <c r="A40" s="31">
        <v>10.75</v>
      </c>
      <c r="B40" s="8">
        <v>103.5</v>
      </c>
      <c r="C40" s="35">
        <v>78.5</v>
      </c>
      <c r="D40" s="56">
        <v>106</v>
      </c>
      <c r="E40" s="40">
        <v>81</v>
      </c>
      <c r="H40" s="30"/>
      <c r="K40" s="31"/>
      <c r="L40" s="30"/>
    </row>
    <row r="41" spans="1:12" x14ac:dyDescent="0.3">
      <c r="A41" s="31">
        <v>11</v>
      </c>
      <c r="B41" s="8">
        <v>104.5</v>
      </c>
      <c r="C41" s="35">
        <v>79.25</v>
      </c>
      <c r="D41" s="56">
        <v>107</v>
      </c>
      <c r="E41" s="40">
        <v>81.5</v>
      </c>
      <c r="H41" s="30"/>
      <c r="K41" s="31"/>
      <c r="L41" s="30"/>
    </row>
    <row r="42" spans="1:12" x14ac:dyDescent="0.3">
      <c r="A42" s="31">
        <v>11.5</v>
      </c>
      <c r="B42" s="8">
        <v>105.75</v>
      </c>
      <c r="C42" s="35">
        <v>80</v>
      </c>
      <c r="D42" s="56">
        <v>108</v>
      </c>
      <c r="E42" s="40">
        <v>82.25</v>
      </c>
      <c r="H42" s="30"/>
      <c r="K42" s="31"/>
      <c r="L42" s="30"/>
    </row>
    <row r="43" spans="1:12" x14ac:dyDescent="0.3">
      <c r="A43" s="31">
        <v>11.75</v>
      </c>
      <c r="B43" s="8">
        <v>106.25</v>
      </c>
      <c r="C43" s="35"/>
      <c r="D43" s="56">
        <v>108.5</v>
      </c>
      <c r="E43" s="40"/>
      <c r="H43" s="30"/>
      <c r="K43" s="31"/>
      <c r="L43" s="30"/>
    </row>
    <row r="44" spans="1:12" x14ac:dyDescent="0.3">
      <c r="A44" s="31">
        <v>12</v>
      </c>
      <c r="B44" s="8">
        <v>107</v>
      </c>
      <c r="C44" s="35">
        <v>81</v>
      </c>
      <c r="D44" s="56">
        <v>109</v>
      </c>
      <c r="E44" s="40">
        <v>83</v>
      </c>
      <c r="H44" s="30"/>
      <c r="K44" s="31"/>
      <c r="L44" s="30"/>
    </row>
    <row r="45" spans="1:12" x14ac:dyDescent="0.3">
      <c r="A45" s="31">
        <v>12.25</v>
      </c>
      <c r="B45" s="8">
        <v>108</v>
      </c>
      <c r="C45" s="35"/>
      <c r="D45" s="56">
        <v>110.5</v>
      </c>
      <c r="E45" s="40"/>
      <c r="H45" s="30"/>
      <c r="K45" s="31"/>
      <c r="L45" s="30"/>
    </row>
    <row r="46" spans="1:12" x14ac:dyDescent="0.3">
      <c r="A46" s="31">
        <v>12.5</v>
      </c>
      <c r="B46" s="8">
        <v>109</v>
      </c>
      <c r="C46" s="35">
        <v>82.5</v>
      </c>
      <c r="D46" s="56">
        <v>111.25</v>
      </c>
      <c r="E46" s="40">
        <v>84.75</v>
      </c>
      <c r="H46" s="30"/>
      <c r="K46" s="31"/>
      <c r="L46" s="30"/>
    </row>
    <row r="47" spans="1:12" x14ac:dyDescent="0.3">
      <c r="A47" s="31">
        <v>13</v>
      </c>
      <c r="B47" s="8">
        <v>110</v>
      </c>
      <c r="C47" s="35">
        <v>83.5</v>
      </c>
      <c r="D47" s="56">
        <v>112.25</v>
      </c>
      <c r="E47" s="40">
        <v>85.5</v>
      </c>
      <c r="H47" s="30"/>
      <c r="K47" s="31"/>
      <c r="L47" s="30"/>
    </row>
    <row r="48" spans="1:12" x14ac:dyDescent="0.3">
      <c r="A48" s="31">
        <v>14</v>
      </c>
      <c r="B48" s="8">
        <v>111</v>
      </c>
      <c r="C48" s="35">
        <v>84.25</v>
      </c>
      <c r="D48" s="56">
        <v>113.25</v>
      </c>
      <c r="E48" s="40">
        <v>86.5</v>
      </c>
      <c r="H48" s="30"/>
      <c r="K48" s="31"/>
      <c r="L48" s="30"/>
    </row>
    <row r="49" spans="1:12" x14ac:dyDescent="0.3">
      <c r="A49" s="31">
        <v>15</v>
      </c>
      <c r="B49" s="8">
        <v>114.5</v>
      </c>
      <c r="C49" s="35">
        <v>86.5</v>
      </c>
      <c r="D49" s="56">
        <v>116.5</v>
      </c>
      <c r="E49" s="40">
        <v>88.75</v>
      </c>
      <c r="H49" s="30"/>
      <c r="K49" s="31"/>
      <c r="L49" s="30"/>
    </row>
    <row r="50" spans="1:12" ht="13.8" x14ac:dyDescent="0.25">
      <c r="B50" s="35"/>
      <c r="C50" s="35"/>
      <c r="D50" s="40"/>
      <c r="E50" s="40"/>
      <c r="K50" s="31"/>
    </row>
    <row r="51" spans="1:12" ht="13.8" x14ac:dyDescent="0.25">
      <c r="B51" s="35"/>
      <c r="C51" s="35"/>
      <c r="D51" s="40"/>
      <c r="E51" s="40"/>
      <c r="K51" s="31"/>
    </row>
    <row r="52" spans="1:12" ht="13.8" x14ac:dyDescent="0.25">
      <c r="A52" s="31" t="s">
        <v>8</v>
      </c>
      <c r="K52" s="31"/>
    </row>
    <row r="53" spans="1:12" ht="13.8" x14ac:dyDescent="0.25">
      <c r="A53" s="31" t="s">
        <v>27</v>
      </c>
      <c r="K53" s="31"/>
    </row>
    <row r="55" spans="1:12" ht="13.8" x14ac:dyDescent="0.25">
      <c r="D55" s="37"/>
      <c r="E55" s="37"/>
      <c r="K55" s="31"/>
    </row>
    <row r="56" spans="1:12" ht="13.8" x14ac:dyDescent="0.25">
      <c r="D56" s="37"/>
      <c r="E56" s="37"/>
      <c r="K56" s="31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DF14A-DA55-0949-855E-A4E666385753}">
  <sheetPr codeName="Sheet11">
    <pageSetUpPr fitToPage="1"/>
  </sheetPr>
  <dimension ref="A1:S36"/>
  <sheetViews>
    <sheetView zoomScale="171" zoomScaleNormal="171" workbookViewId="0">
      <selection activeCell="D3" sqref="D3"/>
    </sheetView>
  </sheetViews>
  <sheetFormatPr defaultColWidth="8.77734375" defaultRowHeight="14.4" x14ac:dyDescent="0.3"/>
  <cols>
    <col min="1" max="1" width="17.6640625" customWidth="1"/>
    <col min="2" max="2" width="10" bestFit="1" customWidth="1"/>
    <col min="3" max="3" width="13.109375" bestFit="1" customWidth="1"/>
    <col min="4" max="4" width="13.109375" customWidth="1"/>
    <col min="5" max="5" width="14.44140625" style="2" bestFit="1" customWidth="1"/>
    <col min="6" max="6" width="12.77734375" style="2" customWidth="1"/>
    <col min="7" max="7" width="14.44140625" style="2" customWidth="1"/>
    <col min="8" max="8" width="13.44140625" customWidth="1"/>
  </cols>
  <sheetData>
    <row r="1" spans="1:19" ht="21" x14ac:dyDescent="0.4">
      <c r="A1" s="1" t="s">
        <v>36</v>
      </c>
    </row>
    <row r="2" spans="1:19" ht="43.2" x14ac:dyDescent="0.3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4" t="s">
        <v>6</v>
      </c>
      <c r="H2" s="5" t="s">
        <v>7</v>
      </c>
      <c r="N2" s="6"/>
      <c r="O2" s="6"/>
    </row>
    <row r="3" spans="1:19" x14ac:dyDescent="0.3">
      <c r="A3">
        <v>1</v>
      </c>
      <c r="B3" s="2">
        <v>7.13</v>
      </c>
      <c r="C3" s="2">
        <f t="shared" ref="C3:C29" si="0">B3*A3</f>
        <v>7.13</v>
      </c>
      <c r="D3" s="7">
        <f>ROUNDUP((C3*48/12),0)</f>
        <v>29</v>
      </c>
      <c r="E3" s="2">
        <v>3</v>
      </c>
      <c r="F3" s="8">
        <f t="shared" ref="F3:F29" si="1">D3+E3</f>
        <v>32</v>
      </c>
      <c r="G3" s="2">
        <v>5</v>
      </c>
      <c r="H3" s="8">
        <f t="shared" ref="H3:H29" si="2">D3+G3</f>
        <v>34</v>
      </c>
      <c r="I3" s="8">
        <v>31.5</v>
      </c>
      <c r="J3" s="2">
        <f>(I3-3)/48*12</f>
        <v>7.125</v>
      </c>
      <c r="N3" s="6"/>
      <c r="O3" s="6"/>
    </row>
    <row r="4" spans="1:19" x14ac:dyDescent="0.3">
      <c r="A4">
        <v>1.5</v>
      </c>
      <c r="B4" s="2">
        <v>6.3466790624999998</v>
      </c>
      <c r="C4" s="2">
        <f t="shared" si="0"/>
        <v>9.5200185937499988</v>
      </c>
      <c r="D4" s="7">
        <f t="shared" ref="D4:D29" si="3">ROUNDUP((C4*48/12),0)</f>
        <v>39</v>
      </c>
      <c r="E4" s="2">
        <v>3</v>
      </c>
      <c r="F4" s="8">
        <f t="shared" si="1"/>
        <v>42</v>
      </c>
      <c r="G4" s="2">
        <v>5</v>
      </c>
      <c r="H4" s="8">
        <f t="shared" si="2"/>
        <v>44</v>
      </c>
      <c r="I4" s="8">
        <v>45.75</v>
      </c>
      <c r="N4" s="6"/>
    </row>
    <row r="5" spans="1:19" ht="15.6" x14ac:dyDescent="0.3">
      <c r="A5">
        <v>2</v>
      </c>
      <c r="B5" s="2">
        <v>5.7120111562499991</v>
      </c>
      <c r="C5" s="2">
        <f t="shared" si="0"/>
        <v>11.424022312499998</v>
      </c>
      <c r="D5" s="7">
        <f t="shared" si="3"/>
        <v>46</v>
      </c>
      <c r="E5" s="2">
        <v>3</v>
      </c>
      <c r="F5" s="8">
        <f t="shared" si="1"/>
        <v>49</v>
      </c>
      <c r="G5" s="2">
        <v>5</v>
      </c>
      <c r="H5" s="8">
        <f t="shared" si="2"/>
        <v>51</v>
      </c>
      <c r="I5" s="8">
        <v>53.5</v>
      </c>
      <c r="N5" s="6"/>
      <c r="S5" s="9"/>
    </row>
    <row r="6" spans="1:19" ht="15.6" x14ac:dyDescent="0.3">
      <c r="A6">
        <v>2.5</v>
      </c>
      <c r="B6" s="2">
        <v>5.0773432500000011</v>
      </c>
      <c r="C6" s="2">
        <f t="shared" si="0"/>
        <v>12.693358125000003</v>
      </c>
      <c r="D6" s="7">
        <f t="shared" si="3"/>
        <v>51</v>
      </c>
      <c r="E6" s="2">
        <v>3</v>
      </c>
      <c r="F6" s="8">
        <f t="shared" si="1"/>
        <v>54</v>
      </c>
      <c r="G6" s="2">
        <v>5</v>
      </c>
      <c r="H6" s="8">
        <f t="shared" si="2"/>
        <v>56</v>
      </c>
      <c r="I6" s="8">
        <v>61</v>
      </c>
      <c r="N6" s="6"/>
      <c r="S6" s="9"/>
    </row>
    <row r="7" spans="1:19" x14ac:dyDescent="0.3">
      <c r="A7">
        <v>3</v>
      </c>
      <c r="B7" s="2">
        <v>5.0773432500000011</v>
      </c>
      <c r="C7" s="2">
        <f t="shared" si="0"/>
        <v>15.232029750000002</v>
      </c>
      <c r="D7" s="7">
        <f t="shared" si="3"/>
        <v>61</v>
      </c>
      <c r="E7" s="2">
        <v>3</v>
      </c>
      <c r="F7" s="8">
        <f t="shared" si="1"/>
        <v>64</v>
      </c>
      <c r="G7" s="2">
        <v>5</v>
      </c>
      <c r="H7" s="8">
        <f t="shared" si="2"/>
        <v>66</v>
      </c>
      <c r="I7" s="8">
        <v>68</v>
      </c>
    </row>
    <row r="8" spans="1:19" x14ac:dyDescent="0.3">
      <c r="A8">
        <v>3.5</v>
      </c>
      <c r="B8" s="2">
        <v>4.4426753437500004</v>
      </c>
      <c r="C8" s="2">
        <f t="shared" si="0"/>
        <v>15.549363703125001</v>
      </c>
      <c r="D8" s="7">
        <f t="shared" si="3"/>
        <v>63</v>
      </c>
      <c r="E8" s="2">
        <v>3</v>
      </c>
      <c r="F8" s="8">
        <f t="shared" si="1"/>
        <v>66</v>
      </c>
      <c r="G8" s="2">
        <v>5</v>
      </c>
      <c r="H8" s="8">
        <f t="shared" si="2"/>
        <v>68</v>
      </c>
      <c r="I8" s="8">
        <v>72</v>
      </c>
    </row>
    <row r="9" spans="1:19" x14ac:dyDescent="0.3">
      <c r="A9">
        <v>4</v>
      </c>
      <c r="B9" s="2">
        <v>3.93494101875</v>
      </c>
      <c r="C9" s="2">
        <f t="shared" si="0"/>
        <v>15.739764075</v>
      </c>
      <c r="D9" s="7">
        <f t="shared" si="3"/>
        <v>63</v>
      </c>
      <c r="E9" s="2">
        <v>3</v>
      </c>
      <c r="F9" s="8">
        <f t="shared" si="1"/>
        <v>66</v>
      </c>
      <c r="G9" s="2">
        <v>5</v>
      </c>
      <c r="H9" s="8">
        <f t="shared" si="2"/>
        <v>68</v>
      </c>
      <c r="I9" s="8">
        <v>74</v>
      </c>
    </row>
    <row r="10" spans="1:19" x14ac:dyDescent="0.3">
      <c r="A10">
        <v>4.5</v>
      </c>
      <c r="B10" s="2">
        <v>3.6810738562499998</v>
      </c>
      <c r="C10" s="2">
        <f t="shared" si="0"/>
        <v>16.564832353124999</v>
      </c>
      <c r="D10" s="7">
        <f t="shared" si="3"/>
        <v>67</v>
      </c>
      <c r="E10" s="2">
        <v>3</v>
      </c>
      <c r="F10" s="8">
        <f t="shared" si="1"/>
        <v>70</v>
      </c>
      <c r="G10" s="2">
        <v>5</v>
      </c>
      <c r="H10" s="8">
        <f t="shared" si="2"/>
        <v>72</v>
      </c>
      <c r="I10" s="8">
        <v>76.25</v>
      </c>
    </row>
    <row r="11" spans="1:19" x14ac:dyDescent="0.3">
      <c r="A11">
        <v>5</v>
      </c>
      <c r="B11" s="2">
        <v>3.4272066937500001</v>
      </c>
      <c r="C11" s="2">
        <f t="shared" si="0"/>
        <v>17.13603346875</v>
      </c>
      <c r="D11" s="7">
        <f t="shared" si="3"/>
        <v>69</v>
      </c>
      <c r="E11" s="2">
        <v>3</v>
      </c>
      <c r="F11" s="8">
        <f t="shared" si="1"/>
        <v>72</v>
      </c>
      <c r="G11" s="2">
        <v>5</v>
      </c>
      <c r="H11" s="8">
        <f t="shared" si="2"/>
        <v>74</v>
      </c>
      <c r="I11" s="8">
        <v>78.5</v>
      </c>
    </row>
    <row r="12" spans="1:19" x14ac:dyDescent="0.3">
      <c r="A12">
        <v>5.5</v>
      </c>
      <c r="B12" s="2">
        <v>3.3002731124999998</v>
      </c>
      <c r="C12" s="2">
        <f t="shared" si="0"/>
        <v>18.151502118749999</v>
      </c>
      <c r="D12" s="7">
        <f t="shared" si="3"/>
        <v>73</v>
      </c>
      <c r="E12" s="2">
        <v>3</v>
      </c>
      <c r="F12" s="8">
        <f t="shared" si="1"/>
        <v>76</v>
      </c>
      <c r="G12" s="2">
        <v>5</v>
      </c>
      <c r="H12" s="8">
        <f t="shared" si="2"/>
        <v>78</v>
      </c>
      <c r="I12" s="8">
        <v>83</v>
      </c>
    </row>
    <row r="13" spans="1:19" x14ac:dyDescent="0.3">
      <c r="A13">
        <v>6</v>
      </c>
      <c r="B13" s="2">
        <v>3.1733395312499999</v>
      </c>
      <c r="C13" s="2">
        <f t="shared" si="0"/>
        <v>19.040037187499998</v>
      </c>
      <c r="D13" s="7">
        <f t="shared" si="3"/>
        <v>77</v>
      </c>
      <c r="E13" s="2">
        <v>3</v>
      </c>
      <c r="F13" s="8">
        <f t="shared" si="1"/>
        <v>80</v>
      </c>
      <c r="G13" s="2">
        <v>5</v>
      </c>
      <c r="H13" s="8">
        <f t="shared" si="2"/>
        <v>82</v>
      </c>
      <c r="I13" s="8">
        <v>87.25</v>
      </c>
    </row>
    <row r="14" spans="1:19" x14ac:dyDescent="0.3">
      <c r="A14">
        <v>6.5</v>
      </c>
      <c r="B14" s="2">
        <v>2.96947236875</v>
      </c>
      <c r="C14" s="2">
        <f t="shared" si="0"/>
        <v>19.301570396875</v>
      </c>
      <c r="D14" s="7">
        <f t="shared" si="3"/>
        <v>78</v>
      </c>
      <c r="E14" s="2">
        <v>3</v>
      </c>
      <c r="F14" s="8">
        <f t="shared" si="1"/>
        <v>81</v>
      </c>
      <c r="G14" s="2">
        <v>5</v>
      </c>
      <c r="H14" s="8">
        <f t="shared" si="2"/>
        <v>83</v>
      </c>
      <c r="I14" s="8">
        <v>88.5</v>
      </c>
    </row>
    <row r="15" spans="1:19" x14ac:dyDescent="0.3">
      <c r="A15">
        <v>7</v>
      </c>
      <c r="B15" s="2">
        <v>2.7925387874999998</v>
      </c>
      <c r="C15" s="2">
        <f t="shared" si="0"/>
        <v>19.547771512499999</v>
      </c>
      <c r="D15" s="7">
        <f t="shared" si="3"/>
        <v>79</v>
      </c>
      <c r="E15" s="2">
        <v>3</v>
      </c>
      <c r="F15" s="8">
        <f t="shared" si="1"/>
        <v>82</v>
      </c>
      <c r="G15" s="2">
        <v>5</v>
      </c>
      <c r="H15" s="8">
        <f t="shared" si="2"/>
        <v>84</v>
      </c>
      <c r="I15" s="8">
        <v>89.5</v>
      </c>
    </row>
    <row r="16" spans="1:19" x14ac:dyDescent="0.3">
      <c r="A16">
        <v>7.5</v>
      </c>
      <c r="B16" s="2">
        <v>2.6656052062500004</v>
      </c>
      <c r="C16" s="2">
        <f t="shared" si="0"/>
        <v>19.992039046875004</v>
      </c>
      <c r="D16" s="7">
        <f t="shared" si="3"/>
        <v>80</v>
      </c>
      <c r="E16" s="2">
        <v>3</v>
      </c>
      <c r="F16" s="8">
        <f t="shared" si="1"/>
        <v>83</v>
      </c>
      <c r="G16" s="2">
        <v>5</v>
      </c>
      <c r="H16" s="8">
        <f t="shared" si="2"/>
        <v>85</v>
      </c>
      <c r="I16" s="8">
        <v>90.5</v>
      </c>
    </row>
    <row r="17" spans="1:9" x14ac:dyDescent="0.3">
      <c r="A17">
        <v>8</v>
      </c>
      <c r="B17" s="2">
        <v>2.5386716250000005</v>
      </c>
      <c r="C17" s="2">
        <f t="shared" si="0"/>
        <v>20.309373000000004</v>
      </c>
      <c r="D17" s="7">
        <f t="shared" si="3"/>
        <v>82</v>
      </c>
      <c r="E17" s="2">
        <v>3</v>
      </c>
      <c r="F17" s="8">
        <f t="shared" si="1"/>
        <v>85</v>
      </c>
      <c r="G17" s="2">
        <v>5</v>
      </c>
      <c r="H17" s="8">
        <f t="shared" si="2"/>
        <v>87</v>
      </c>
      <c r="I17" s="8">
        <v>92.75</v>
      </c>
    </row>
    <row r="18" spans="1:9" x14ac:dyDescent="0.3">
      <c r="A18">
        <v>8.5</v>
      </c>
      <c r="B18" s="2">
        <v>2.4786716250000005</v>
      </c>
      <c r="C18" s="2">
        <f t="shared" si="0"/>
        <v>21.068708812500006</v>
      </c>
      <c r="D18" s="7">
        <f t="shared" si="3"/>
        <v>85</v>
      </c>
      <c r="E18" s="2">
        <v>3</v>
      </c>
      <c r="F18" s="8">
        <f t="shared" si="1"/>
        <v>88</v>
      </c>
      <c r="G18" s="2">
        <v>5</v>
      </c>
      <c r="H18" s="8">
        <f t="shared" si="2"/>
        <v>90</v>
      </c>
      <c r="I18" s="8">
        <v>96</v>
      </c>
    </row>
    <row r="19" spans="1:9" x14ac:dyDescent="0.3">
      <c r="A19">
        <v>9</v>
      </c>
      <c r="B19" s="2">
        <v>2.4252048343750001</v>
      </c>
      <c r="C19" s="2">
        <f t="shared" si="0"/>
        <v>21.826843509375003</v>
      </c>
      <c r="D19" s="7">
        <f t="shared" si="3"/>
        <v>88</v>
      </c>
      <c r="E19" s="2">
        <v>3</v>
      </c>
      <c r="F19" s="8">
        <f t="shared" si="1"/>
        <v>91</v>
      </c>
      <c r="G19" s="2">
        <v>5</v>
      </c>
      <c r="H19" s="8">
        <f t="shared" si="2"/>
        <v>93</v>
      </c>
      <c r="I19" s="8">
        <v>99</v>
      </c>
    </row>
    <row r="20" spans="1:9" x14ac:dyDescent="0.3">
      <c r="A20">
        <v>9.5</v>
      </c>
      <c r="B20" s="2">
        <v>2.3182712531250003</v>
      </c>
      <c r="C20" s="2">
        <f t="shared" si="0"/>
        <v>22.023576904687502</v>
      </c>
      <c r="D20" s="7">
        <f t="shared" si="3"/>
        <v>89</v>
      </c>
      <c r="E20" s="2">
        <v>3</v>
      </c>
      <c r="F20" s="8">
        <f t="shared" si="1"/>
        <v>92</v>
      </c>
      <c r="G20" s="2">
        <v>5</v>
      </c>
      <c r="H20" s="8">
        <f t="shared" si="2"/>
        <v>94</v>
      </c>
      <c r="I20" s="8">
        <v>100.25</v>
      </c>
    </row>
    <row r="21" spans="1:9" x14ac:dyDescent="0.3">
      <c r="A21">
        <v>10</v>
      </c>
      <c r="B21" s="2">
        <v>2.2328509218749995</v>
      </c>
      <c r="C21" s="2">
        <f t="shared" si="0"/>
        <v>22.328509218749993</v>
      </c>
      <c r="D21" s="7">
        <f t="shared" si="3"/>
        <v>90</v>
      </c>
      <c r="E21" s="2">
        <v>3</v>
      </c>
      <c r="F21" s="8">
        <f t="shared" si="1"/>
        <v>93</v>
      </c>
      <c r="G21" s="2">
        <v>5</v>
      </c>
      <c r="H21" s="8">
        <f t="shared" si="2"/>
        <v>95</v>
      </c>
      <c r="I21" s="8">
        <v>101.5</v>
      </c>
    </row>
    <row r="22" spans="1:9" x14ac:dyDescent="0.3">
      <c r="A22">
        <v>10.5</v>
      </c>
      <c r="B22" s="2">
        <v>2.15787088125</v>
      </c>
      <c r="C22" s="2">
        <f t="shared" si="0"/>
        <v>22.657644253125</v>
      </c>
      <c r="D22" s="7">
        <f t="shared" si="3"/>
        <v>91</v>
      </c>
      <c r="E22" s="2">
        <v>3</v>
      </c>
      <c r="F22" s="8">
        <f t="shared" si="1"/>
        <v>94</v>
      </c>
      <c r="G22" s="2">
        <v>5</v>
      </c>
      <c r="H22" s="8">
        <f t="shared" si="2"/>
        <v>96</v>
      </c>
      <c r="I22" s="8">
        <v>102.5</v>
      </c>
    </row>
    <row r="23" spans="1:9" x14ac:dyDescent="0.3">
      <c r="A23">
        <v>11</v>
      </c>
      <c r="B23" s="2">
        <v>2.0944040906249999</v>
      </c>
      <c r="C23" s="2">
        <f t="shared" si="0"/>
        <v>23.038444996875</v>
      </c>
      <c r="D23" s="7">
        <f t="shared" si="3"/>
        <v>93</v>
      </c>
      <c r="E23" s="2">
        <v>3</v>
      </c>
      <c r="F23" s="8">
        <f t="shared" si="1"/>
        <v>96</v>
      </c>
      <c r="G23" s="2">
        <v>5</v>
      </c>
      <c r="H23" s="8">
        <f t="shared" si="2"/>
        <v>98</v>
      </c>
      <c r="I23" s="8">
        <v>104.5</v>
      </c>
    </row>
    <row r="24" spans="1:9" x14ac:dyDescent="0.3">
      <c r="A24">
        <v>11.5</v>
      </c>
      <c r="B24" s="2">
        <v>2.0309373000000002</v>
      </c>
      <c r="C24" s="2">
        <f t="shared" si="0"/>
        <v>23.355778950000001</v>
      </c>
      <c r="D24" s="7">
        <f t="shared" si="3"/>
        <v>94</v>
      </c>
      <c r="E24" s="2">
        <v>3</v>
      </c>
      <c r="F24" s="8">
        <f t="shared" si="1"/>
        <v>97</v>
      </c>
      <c r="G24" s="2">
        <v>5</v>
      </c>
      <c r="H24" s="8">
        <f t="shared" si="2"/>
        <v>99</v>
      </c>
      <c r="I24" s="8">
        <v>105.75</v>
      </c>
    </row>
    <row r="25" spans="1:9" x14ac:dyDescent="0.3">
      <c r="A25">
        <v>12</v>
      </c>
      <c r="B25" s="2">
        <v>1.967470509375</v>
      </c>
      <c r="C25" s="2">
        <f t="shared" si="0"/>
        <v>23.609646112500002</v>
      </c>
      <c r="D25" s="7">
        <f t="shared" si="3"/>
        <v>95</v>
      </c>
      <c r="E25" s="2">
        <v>3</v>
      </c>
      <c r="F25" s="8">
        <f t="shared" si="1"/>
        <v>98</v>
      </c>
      <c r="G25" s="2">
        <v>5</v>
      </c>
      <c r="H25" s="8">
        <f t="shared" si="2"/>
        <v>100</v>
      </c>
      <c r="I25" s="8">
        <v>107</v>
      </c>
    </row>
    <row r="26" spans="1:9" x14ac:dyDescent="0.3">
      <c r="A26">
        <v>12.5</v>
      </c>
      <c r="B26" s="2">
        <v>1.934226</v>
      </c>
      <c r="C26" s="2">
        <f t="shared" si="0"/>
        <v>24.177824999999999</v>
      </c>
      <c r="D26" s="7">
        <f t="shared" si="3"/>
        <v>97</v>
      </c>
      <c r="E26" s="2">
        <v>3</v>
      </c>
      <c r="F26" s="8">
        <f t="shared" si="1"/>
        <v>100</v>
      </c>
      <c r="G26" s="2">
        <v>5</v>
      </c>
      <c r="H26" s="8">
        <f t="shared" si="2"/>
        <v>102</v>
      </c>
      <c r="I26" s="8">
        <v>109</v>
      </c>
    </row>
    <row r="27" spans="1:9" x14ac:dyDescent="0.3">
      <c r="A27">
        <v>13</v>
      </c>
      <c r="B27" s="2">
        <v>1.8737814374999997</v>
      </c>
      <c r="C27" s="2">
        <f t="shared" si="0"/>
        <v>24.359158687499995</v>
      </c>
      <c r="D27" s="7">
        <f t="shared" si="3"/>
        <v>98</v>
      </c>
      <c r="E27" s="2">
        <v>3</v>
      </c>
      <c r="F27" s="8">
        <f t="shared" si="1"/>
        <v>101</v>
      </c>
      <c r="G27" s="2">
        <v>5</v>
      </c>
      <c r="H27" s="8">
        <f t="shared" si="2"/>
        <v>103</v>
      </c>
      <c r="I27" s="8">
        <v>110</v>
      </c>
    </row>
    <row r="28" spans="1:9" x14ac:dyDescent="0.3">
      <c r="A28">
        <v>14</v>
      </c>
      <c r="B28" s="2">
        <v>1.7528923124999998</v>
      </c>
      <c r="C28" s="2">
        <f t="shared" si="0"/>
        <v>24.540492374999996</v>
      </c>
      <c r="D28" s="7">
        <f t="shared" si="3"/>
        <v>99</v>
      </c>
      <c r="E28" s="2">
        <v>3</v>
      </c>
      <c r="F28" s="8">
        <f t="shared" si="1"/>
        <v>102</v>
      </c>
      <c r="G28" s="2">
        <v>5</v>
      </c>
      <c r="H28" s="8">
        <f t="shared" si="2"/>
        <v>104</v>
      </c>
      <c r="I28" s="8">
        <v>111</v>
      </c>
    </row>
    <row r="29" spans="1:9" x14ac:dyDescent="0.3">
      <c r="A29">
        <v>15</v>
      </c>
      <c r="B29" s="2">
        <v>1.6924477499999997</v>
      </c>
      <c r="C29" s="2">
        <f t="shared" si="0"/>
        <v>25.386716249999996</v>
      </c>
      <c r="D29" s="7">
        <f t="shared" si="3"/>
        <v>102</v>
      </c>
      <c r="E29" s="2">
        <v>3</v>
      </c>
      <c r="F29" s="8">
        <f t="shared" si="1"/>
        <v>105</v>
      </c>
      <c r="G29" s="2">
        <v>5</v>
      </c>
      <c r="H29" s="8">
        <f t="shared" si="2"/>
        <v>107</v>
      </c>
      <c r="I29" s="8">
        <v>114.5</v>
      </c>
    </row>
    <row r="30" spans="1:9" x14ac:dyDescent="0.3">
      <c r="B30" s="2"/>
      <c r="C30" s="2"/>
      <c r="D30" s="7"/>
      <c r="F30" s="8"/>
      <c r="H30" s="8"/>
    </row>
    <row r="31" spans="1:9" x14ac:dyDescent="0.3">
      <c r="B31" s="2"/>
      <c r="C31" s="2"/>
      <c r="D31" s="7"/>
      <c r="F31" s="8"/>
      <c r="H31" s="8"/>
    </row>
    <row r="32" spans="1:9" x14ac:dyDescent="0.3">
      <c r="A32" t="s">
        <v>8</v>
      </c>
    </row>
    <row r="33" spans="1:8" x14ac:dyDescent="0.3">
      <c r="A33" t="s">
        <v>9</v>
      </c>
    </row>
    <row r="35" spans="1:8" x14ac:dyDescent="0.3">
      <c r="H35" s="11"/>
    </row>
    <row r="36" spans="1:8" x14ac:dyDescent="0.3">
      <c r="H36" s="11"/>
    </row>
  </sheetData>
  <hyperlinks>
    <hyperlink ref="D3" r:id="rId1" display="=@round((C3*42/12),0)" xr:uid="{FF956707-A8EE-4C4E-88C7-8939AA242C7C}"/>
    <hyperlink ref="D4:D29" r:id="rId2" display="=@round((C3*42/12),0)" xr:uid="{E3763461-4E38-0D41-B0E9-AE22D884D846}"/>
  </hyperlinks>
  <pageMargins left="0.70866141732283472" right="0.70866141732283472" top="0.74803149606299213" bottom="0.74803149606299213" header="0.31496062992125984" footer="0.31496062992125984"/>
  <pageSetup paperSize="9" scale="79" orientation="portrait" horizontalDpi="4294967293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641D-0E36-4AA4-8050-079D8FCF8FA4}">
  <sheetPr codeName="Sheet2">
    <pageSetUpPr fitToPage="1"/>
  </sheetPr>
  <dimension ref="A1:S31"/>
  <sheetViews>
    <sheetView topLeftCell="E1" zoomScale="142" zoomScaleNormal="142" workbookViewId="0">
      <selection activeCell="N7" sqref="N7"/>
    </sheetView>
  </sheetViews>
  <sheetFormatPr defaultColWidth="8.77734375" defaultRowHeight="14.4" x14ac:dyDescent="0.3"/>
  <cols>
    <col min="1" max="1" width="17.6640625" customWidth="1"/>
    <col min="2" max="2" width="10" bestFit="1" customWidth="1"/>
    <col min="3" max="3" width="13.109375" bestFit="1" customWidth="1"/>
    <col min="4" max="4" width="13.109375" customWidth="1"/>
    <col min="5" max="5" width="17.44140625" style="2" customWidth="1"/>
    <col min="6" max="6" width="12.77734375" style="2" customWidth="1"/>
    <col min="7" max="7" width="14.44140625" style="2" customWidth="1"/>
    <col min="8" max="8" width="20.44140625" customWidth="1"/>
    <col min="9" max="9" width="11.44140625" customWidth="1"/>
    <col min="10" max="10" width="12" customWidth="1"/>
    <col min="11" max="11" width="12.44140625" customWidth="1"/>
    <col min="12" max="12" width="18.109375" customWidth="1"/>
    <col min="13" max="13" width="13.77734375" customWidth="1"/>
    <col min="14" max="14" width="10.44140625" customWidth="1"/>
  </cols>
  <sheetData>
    <row r="1" spans="1:19" ht="21" x14ac:dyDescent="0.4">
      <c r="A1" s="1" t="s">
        <v>24</v>
      </c>
    </row>
    <row r="2" spans="1:19" ht="21" x14ac:dyDescent="0.4">
      <c r="A2" s="1"/>
    </row>
    <row r="3" spans="1:19" ht="21" x14ac:dyDescent="0.4">
      <c r="A3" s="1" t="s">
        <v>17</v>
      </c>
      <c r="H3" s="1" t="s">
        <v>19</v>
      </c>
    </row>
    <row r="4" spans="1:19" ht="53.25" customHeight="1" x14ac:dyDescent="0.3">
      <c r="A4" s="3" t="s">
        <v>0</v>
      </c>
      <c r="B4" s="16" t="s">
        <v>1</v>
      </c>
      <c r="C4" s="16" t="s">
        <v>2</v>
      </c>
      <c r="D4" s="16" t="s">
        <v>3</v>
      </c>
      <c r="E4" s="4" t="s">
        <v>15</v>
      </c>
      <c r="F4" s="5" t="s">
        <v>16</v>
      </c>
      <c r="G4" s="4"/>
      <c r="H4" s="3" t="s">
        <v>0</v>
      </c>
      <c r="I4" s="16" t="s">
        <v>1</v>
      </c>
      <c r="J4" s="16" t="s">
        <v>2</v>
      </c>
      <c r="K4" s="16" t="s">
        <v>3</v>
      </c>
      <c r="L4" s="4" t="s">
        <v>15</v>
      </c>
      <c r="M4" s="5" t="s">
        <v>16</v>
      </c>
      <c r="N4" s="20" t="s">
        <v>20</v>
      </c>
      <c r="O4" s="6"/>
    </row>
    <row r="5" spans="1:19" x14ac:dyDescent="0.3">
      <c r="A5" s="3"/>
      <c r="B5" s="3"/>
      <c r="C5" s="3"/>
      <c r="D5" s="3"/>
      <c r="E5" s="4"/>
      <c r="F5" s="5"/>
      <c r="G5" s="4"/>
      <c r="H5" s="4"/>
      <c r="N5" s="6"/>
      <c r="O5" s="6"/>
    </row>
    <row r="6" spans="1:19" x14ac:dyDescent="0.3">
      <c r="A6" s="15">
        <v>0.75</v>
      </c>
      <c r="B6" s="13">
        <f>'Saltire Fees 2019-20 ASN, P '!B6*1.02</f>
        <v>6.747300000000001</v>
      </c>
      <c r="C6" s="2">
        <f t="shared" ref="C6" si="0">B6*A6</f>
        <v>5.0604750000000003</v>
      </c>
      <c r="D6" s="17">
        <f>ROUND((C6*42/12),0)</f>
        <v>18</v>
      </c>
      <c r="E6" s="2">
        <v>2</v>
      </c>
      <c r="F6" s="8">
        <f t="shared" ref="F6:F7" si="1">D6+E6</f>
        <v>20</v>
      </c>
      <c r="G6" s="14"/>
      <c r="H6" s="18">
        <v>1</v>
      </c>
      <c r="I6" s="2"/>
      <c r="J6" s="2"/>
      <c r="K6" s="17"/>
      <c r="M6" s="2">
        <f>L6+K6</f>
        <v>0</v>
      </c>
      <c r="N6" s="19">
        <v>7</v>
      </c>
      <c r="O6" s="6"/>
    </row>
    <row r="7" spans="1:19" x14ac:dyDescent="0.3">
      <c r="A7">
        <v>1.5</v>
      </c>
      <c r="B7" s="13">
        <v>6.75</v>
      </c>
      <c r="C7" s="2">
        <f t="shared" ref="C7" si="2">B7*A7</f>
        <v>10.125</v>
      </c>
      <c r="D7" s="17">
        <f>ROUND((C7*42/12),0)</f>
        <v>35</v>
      </c>
      <c r="E7" s="2">
        <v>2</v>
      </c>
      <c r="F7" s="8">
        <f t="shared" si="1"/>
        <v>37</v>
      </c>
      <c r="H7" s="11">
        <v>1.5</v>
      </c>
      <c r="I7" s="2"/>
      <c r="J7" s="2"/>
      <c r="K7" s="17"/>
      <c r="M7" s="2">
        <f>L7+K7</f>
        <v>0</v>
      </c>
      <c r="N7" s="19">
        <v>9</v>
      </c>
      <c r="O7" s="6"/>
    </row>
    <row r="8" spans="1:19" x14ac:dyDescent="0.3">
      <c r="B8" s="2"/>
      <c r="C8" s="2"/>
      <c r="D8" s="7"/>
      <c r="H8" s="11">
        <v>3</v>
      </c>
      <c r="I8" s="2"/>
      <c r="J8" s="2"/>
      <c r="K8" s="17"/>
      <c r="M8" s="28">
        <f>39*1.02</f>
        <v>39.78</v>
      </c>
      <c r="N8" s="19">
        <v>11.5</v>
      </c>
    </row>
    <row r="9" spans="1:19" ht="15.6" x14ac:dyDescent="0.3">
      <c r="B9" s="2"/>
      <c r="C9" s="2"/>
      <c r="D9" s="7"/>
      <c r="H9" s="11"/>
      <c r="I9" s="2"/>
      <c r="J9" s="2"/>
      <c r="K9" s="17"/>
      <c r="M9" s="2"/>
      <c r="N9" s="19"/>
      <c r="S9" s="9"/>
    </row>
    <row r="10" spans="1:19" ht="15.6" x14ac:dyDescent="0.3">
      <c r="A10" t="s">
        <v>21</v>
      </c>
      <c r="B10" s="2"/>
      <c r="C10" s="2"/>
      <c r="D10" s="7"/>
      <c r="H10" t="s">
        <v>8</v>
      </c>
      <c r="I10" s="2"/>
      <c r="J10" s="2"/>
      <c r="K10" s="17"/>
      <c r="M10" s="2"/>
      <c r="N10" s="19"/>
      <c r="S10" s="9"/>
    </row>
    <row r="11" spans="1:19" ht="15.6" x14ac:dyDescent="0.3">
      <c r="B11" s="2"/>
      <c r="C11" s="2"/>
      <c r="D11" s="7"/>
      <c r="I11" s="2"/>
      <c r="J11" s="2"/>
      <c r="K11" s="17"/>
      <c r="M11" s="2"/>
      <c r="N11" s="19"/>
      <c r="S11" s="9"/>
    </row>
    <row r="12" spans="1:19" ht="21" x14ac:dyDescent="0.4">
      <c r="A12" s="1" t="s">
        <v>18</v>
      </c>
      <c r="B12" s="2"/>
      <c r="C12" s="2"/>
      <c r="D12" s="17"/>
      <c r="H12" s="27" t="s">
        <v>22</v>
      </c>
    </row>
    <row r="13" spans="1:19" x14ac:dyDescent="0.3">
      <c r="B13" s="2"/>
      <c r="C13" s="2"/>
      <c r="D13" s="17"/>
      <c r="H13" s="2"/>
    </row>
    <row r="14" spans="1:19" x14ac:dyDescent="0.3">
      <c r="A14">
        <v>1</v>
      </c>
      <c r="B14" s="2">
        <f>'Saltire Fees 2019-20 ASN, P '!B14*1.02</f>
        <v>5.9038875000000006</v>
      </c>
      <c r="C14" s="2">
        <f t="shared" ref="C14:C18" si="3">B14*A14</f>
        <v>5.9038875000000006</v>
      </c>
      <c r="D14" s="17">
        <f>ROUND((C14*42/12),0)</f>
        <v>21</v>
      </c>
      <c r="E14" s="2">
        <v>3</v>
      </c>
      <c r="F14" s="8">
        <f t="shared" ref="F14:F18" si="4">D14+E14</f>
        <v>24</v>
      </c>
      <c r="H14">
        <v>1</v>
      </c>
      <c r="I14" s="2">
        <f>'Saltire Fees 2019-20 ASN, P '!I14*1.02</f>
        <v>8.5680000000000014</v>
      </c>
      <c r="J14" s="2">
        <f t="shared" ref="J14:J15" si="5">I14*H14</f>
        <v>8.5680000000000014</v>
      </c>
      <c r="K14" s="17">
        <f>ROUND((J14*42/12),0)</f>
        <v>30</v>
      </c>
      <c r="L14" s="2">
        <v>3</v>
      </c>
      <c r="M14" s="8">
        <f t="shared" ref="M14:M15" si="6">K14+L14</f>
        <v>33</v>
      </c>
    </row>
    <row r="15" spans="1:19" x14ac:dyDescent="0.3">
      <c r="A15">
        <v>1.5</v>
      </c>
      <c r="B15" s="2">
        <f>'Saltire Fees 2019-20 ASN, P '!B15*1.02</f>
        <v>5.9038875000000006</v>
      </c>
      <c r="C15" s="2">
        <f t="shared" si="3"/>
        <v>8.8558312500000014</v>
      </c>
      <c r="D15" s="17">
        <f t="shared" ref="D15:D18" si="7">ROUND((C15*42/12),0)</f>
        <v>31</v>
      </c>
      <c r="E15" s="2">
        <v>3</v>
      </c>
      <c r="F15" s="8">
        <f t="shared" si="4"/>
        <v>34</v>
      </c>
      <c r="H15">
        <v>1.5</v>
      </c>
      <c r="I15" s="2">
        <f>'Saltire Fees 2019-20 ASN, P '!I15*1.02</f>
        <v>8.5680000000000014</v>
      </c>
      <c r="J15" s="2">
        <f t="shared" si="5"/>
        <v>12.852000000000002</v>
      </c>
      <c r="K15" s="17">
        <f t="shared" ref="K15" si="8">ROUND((J15*42/12),0)</f>
        <v>45</v>
      </c>
      <c r="L15" s="2">
        <v>3</v>
      </c>
      <c r="M15" s="8">
        <f t="shared" si="6"/>
        <v>48</v>
      </c>
    </row>
    <row r="16" spans="1:19" x14ac:dyDescent="0.3">
      <c r="A16">
        <v>2</v>
      </c>
      <c r="B16" s="2">
        <f>'Saltire Fees 2019-20 ASN, P '!B16*1.02</f>
        <v>5.3134987499999999</v>
      </c>
      <c r="C16" s="2">
        <f t="shared" si="3"/>
        <v>10.6269975</v>
      </c>
      <c r="D16" s="17">
        <f t="shared" si="7"/>
        <v>37</v>
      </c>
      <c r="E16" s="2">
        <v>3</v>
      </c>
      <c r="F16" s="8">
        <f t="shared" si="4"/>
        <v>40</v>
      </c>
      <c r="H16" s="2"/>
      <c r="K16" s="12"/>
    </row>
    <row r="17" spans="1:8" x14ac:dyDescent="0.3">
      <c r="A17">
        <v>2.5</v>
      </c>
      <c r="B17" s="2">
        <f>'Saltire Fees 2019-20 ASN, P '!B17*1.02</f>
        <v>4.723110000000001</v>
      </c>
      <c r="C17" s="2">
        <f t="shared" si="3"/>
        <v>11.807775000000003</v>
      </c>
      <c r="D17" s="17">
        <f>ROUND((C17*42/12),0)+1</f>
        <v>42</v>
      </c>
      <c r="E17" s="2">
        <v>3</v>
      </c>
      <c r="F17" s="8">
        <f t="shared" si="4"/>
        <v>45</v>
      </c>
      <c r="H17" s="2"/>
    </row>
    <row r="18" spans="1:8" x14ac:dyDescent="0.3">
      <c r="A18">
        <v>3</v>
      </c>
      <c r="B18" s="2">
        <f>'Saltire Fees 2019-20 ASN, P '!B18*1.02</f>
        <v>4.723110000000001</v>
      </c>
      <c r="C18" s="2">
        <f t="shared" si="3"/>
        <v>14.169330000000002</v>
      </c>
      <c r="D18" s="17">
        <f t="shared" si="7"/>
        <v>50</v>
      </c>
      <c r="E18" s="2">
        <v>3</v>
      </c>
      <c r="F18" s="8">
        <f t="shared" si="4"/>
        <v>53</v>
      </c>
      <c r="H18" s="2"/>
    </row>
    <row r="19" spans="1:8" x14ac:dyDescent="0.3">
      <c r="B19" s="2"/>
      <c r="C19" s="2"/>
      <c r="D19" s="7"/>
      <c r="H19" s="2"/>
    </row>
    <row r="20" spans="1:8" x14ac:dyDescent="0.3">
      <c r="B20" s="2"/>
      <c r="C20" s="2"/>
      <c r="D20" s="7"/>
      <c r="H20" s="2"/>
    </row>
    <row r="21" spans="1:8" x14ac:dyDescent="0.3">
      <c r="B21" s="2"/>
      <c r="C21" s="2"/>
      <c r="D21" s="7"/>
      <c r="H21" s="2"/>
    </row>
    <row r="22" spans="1:8" x14ac:dyDescent="0.3">
      <c r="B22" s="2"/>
      <c r="C22" s="2"/>
      <c r="D22" s="7"/>
      <c r="H22" s="2"/>
    </row>
    <row r="23" spans="1:8" x14ac:dyDescent="0.3">
      <c r="B23" s="2"/>
      <c r="C23" s="2"/>
      <c r="D23" s="7"/>
      <c r="H23" s="2"/>
    </row>
    <row r="24" spans="1:8" x14ac:dyDescent="0.3">
      <c r="B24" s="2"/>
      <c r="C24" s="2"/>
      <c r="D24" s="7"/>
      <c r="H24" s="2"/>
    </row>
    <row r="25" spans="1:8" x14ac:dyDescent="0.3">
      <c r="B25" s="2"/>
      <c r="C25" s="2"/>
      <c r="D25" s="7"/>
      <c r="H25" s="2"/>
    </row>
    <row r="26" spans="1:8" x14ac:dyDescent="0.3">
      <c r="B26" s="2"/>
      <c r="C26" s="2"/>
      <c r="D26" s="7"/>
      <c r="H26" s="2"/>
    </row>
    <row r="27" spans="1:8" x14ac:dyDescent="0.3">
      <c r="A27" t="s">
        <v>21</v>
      </c>
    </row>
    <row r="28" spans="1:8" x14ac:dyDescent="0.3">
      <c r="A28" t="s">
        <v>14</v>
      </c>
    </row>
    <row r="30" spans="1:8" x14ac:dyDescent="0.3">
      <c r="H30" s="11"/>
    </row>
    <row r="31" spans="1:8" x14ac:dyDescent="0.3">
      <c r="H31" s="11"/>
    </row>
  </sheetData>
  <hyperlinks>
    <hyperlink ref="D14" r:id="rId1" display="=@round((C3*42/12),0)" xr:uid="{BE1215F5-85BD-4A46-BAE8-07A6A590F826}"/>
    <hyperlink ref="D15:D18" r:id="rId2" display="=@round((C3*42/12),0)" xr:uid="{38F77947-5A50-441A-92D1-6059029ACD5D}"/>
    <hyperlink ref="K14" r:id="rId3" display="=@round((C3*42/12),0)" xr:uid="{76A98975-73C9-449F-B668-3DC61FF114AD}"/>
    <hyperlink ref="K15" r:id="rId4" display="=@round((C3*42/12),0)" xr:uid="{136CD011-59AD-41F4-A07E-7E4B00A1A2A5}"/>
    <hyperlink ref="D6" r:id="rId5" display="=@round((C3*42/12),0)" xr:uid="{D2DA92CF-5E8B-4C45-B580-F27F822E1ACD}"/>
    <hyperlink ref="D7" r:id="rId6" display="=@round((C3*42/12),0)" xr:uid="{1DDBFE00-925A-47EF-A969-5AF829291444}"/>
  </hyperlinks>
  <pageMargins left="0.70866141732283472" right="0.70866141732283472" top="0.74803149606299213" bottom="0.74803149606299213" header="0.31496062992125984" footer="0.31496062992125984"/>
  <pageSetup paperSize="9" scale="79" orientation="portrait" horizontalDpi="4294967293" verticalDpi="0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F0B28-F3A0-D34A-8613-6E97F02C621F}">
  <sheetPr codeName="Sheet10">
    <pageSetUpPr fitToPage="1"/>
  </sheetPr>
  <dimension ref="A1:S17"/>
  <sheetViews>
    <sheetView zoomScale="85" zoomScaleNormal="85" workbookViewId="0">
      <selection activeCell="K35" sqref="K35"/>
    </sheetView>
  </sheetViews>
  <sheetFormatPr defaultColWidth="8.77734375" defaultRowHeight="14.4" x14ac:dyDescent="0.3"/>
  <cols>
    <col min="1" max="1" width="17.6640625" customWidth="1"/>
    <col min="2" max="2" width="10" bestFit="1" customWidth="1"/>
    <col min="3" max="3" width="13.109375" bestFit="1" customWidth="1"/>
    <col min="4" max="4" width="13.109375" customWidth="1"/>
    <col min="5" max="5" width="17.44140625" style="2" customWidth="1"/>
    <col min="6" max="6" width="12.77734375" style="2" customWidth="1"/>
    <col min="7" max="7" width="14.44140625" style="2" customWidth="1"/>
    <col min="8" max="8" width="20.44140625" customWidth="1"/>
    <col min="9" max="9" width="11.44140625" customWidth="1"/>
    <col min="10" max="10" width="12" customWidth="1"/>
    <col min="11" max="11" width="12.44140625" customWidth="1"/>
    <col min="12" max="12" width="18.109375" customWidth="1"/>
    <col min="13" max="13" width="13.77734375" customWidth="1"/>
    <col min="14" max="14" width="10.44140625" customWidth="1"/>
  </cols>
  <sheetData>
    <row r="1" spans="1:19" ht="21" x14ac:dyDescent="0.4">
      <c r="A1" s="1" t="s">
        <v>24</v>
      </c>
    </row>
    <row r="2" spans="1:19" ht="28.8" x14ac:dyDescent="0.3">
      <c r="A2" s="3" t="s">
        <v>0</v>
      </c>
      <c r="B2" s="3" t="s">
        <v>1</v>
      </c>
      <c r="C2" s="3" t="s">
        <v>2</v>
      </c>
      <c r="D2" s="3" t="s">
        <v>3</v>
      </c>
      <c r="E2" s="4" t="s">
        <v>25</v>
      </c>
      <c r="F2" s="5" t="s">
        <v>16</v>
      </c>
      <c r="H2" s="3" t="s">
        <v>0</v>
      </c>
      <c r="I2" s="3" t="s">
        <v>1</v>
      </c>
      <c r="J2" s="3" t="s">
        <v>2</v>
      </c>
      <c r="K2" s="3" t="s">
        <v>3</v>
      </c>
      <c r="L2" s="4" t="s">
        <v>25</v>
      </c>
      <c r="M2" s="5" t="s">
        <v>16</v>
      </c>
    </row>
    <row r="3" spans="1:19" ht="15.6" x14ac:dyDescent="0.3">
      <c r="B3" s="2"/>
      <c r="C3" s="2"/>
      <c r="D3" s="7"/>
      <c r="I3" s="2"/>
      <c r="J3" s="2"/>
      <c r="K3" s="17"/>
      <c r="M3" s="2"/>
      <c r="N3" s="19"/>
      <c r="S3" s="9"/>
    </row>
    <row r="4" spans="1:19" ht="21" x14ac:dyDescent="0.4">
      <c r="A4" s="1" t="s">
        <v>18</v>
      </c>
      <c r="B4" s="2"/>
      <c r="C4" s="2"/>
      <c r="D4" s="17"/>
      <c r="H4" s="27" t="s">
        <v>22</v>
      </c>
    </row>
    <row r="5" spans="1:19" x14ac:dyDescent="0.3">
      <c r="B5" s="2"/>
      <c r="C5" s="2"/>
      <c r="D5" s="17"/>
      <c r="H5" s="2"/>
    </row>
    <row r="6" spans="1:19" x14ac:dyDescent="0.3">
      <c r="A6">
        <v>1</v>
      </c>
      <c r="B6" s="2">
        <f>'Saltire Fees 2019-20 ASN, P '!B14*1.02</f>
        <v>5.9038875000000006</v>
      </c>
      <c r="C6" s="2">
        <f t="shared" ref="C6:C10" si="0">B6*A6</f>
        <v>5.9038875000000006</v>
      </c>
      <c r="D6" s="17">
        <f>ROUND((C6*48/12),0)</f>
        <v>24</v>
      </c>
      <c r="E6" s="2">
        <v>3</v>
      </c>
      <c r="F6" s="8">
        <f t="shared" ref="F6:F10" si="1">D6+E6</f>
        <v>27</v>
      </c>
      <c r="H6">
        <v>1</v>
      </c>
      <c r="I6" s="2">
        <f>'Saltire Fees 2019-20 ASN, P '!I14*1.02</f>
        <v>8.5680000000000014</v>
      </c>
      <c r="J6" s="2">
        <f t="shared" ref="J6:J7" si="2">I6*H6</f>
        <v>8.5680000000000014</v>
      </c>
      <c r="K6" s="17">
        <f>ROUND((J6*48/12),0)</f>
        <v>34</v>
      </c>
      <c r="L6" s="2">
        <v>3</v>
      </c>
      <c r="M6" s="8">
        <f t="shared" ref="M6:M7" si="3">K6+L6</f>
        <v>37</v>
      </c>
    </row>
    <row r="7" spans="1:19" x14ac:dyDescent="0.3">
      <c r="A7">
        <v>1.5</v>
      </c>
      <c r="B7" s="2">
        <f>'Saltire Fees 2019-20 ASN, P '!B15*1.02</f>
        <v>5.9038875000000006</v>
      </c>
      <c r="C7" s="2">
        <f t="shared" si="0"/>
        <v>8.8558312500000014</v>
      </c>
      <c r="D7" s="17">
        <f>ROUND((C7*48/12),0)+1</f>
        <v>36</v>
      </c>
      <c r="E7" s="2">
        <v>3</v>
      </c>
      <c r="F7" s="8">
        <f t="shared" si="1"/>
        <v>39</v>
      </c>
      <c r="H7">
        <v>1.5</v>
      </c>
      <c r="I7" s="2">
        <f>'Saltire Fees 2019-20 ASN, P '!I15*1.02</f>
        <v>8.5680000000000014</v>
      </c>
      <c r="J7" s="2">
        <f t="shared" si="2"/>
        <v>12.852000000000002</v>
      </c>
      <c r="K7" s="17">
        <f>ROUND((J7*48/12),0)</f>
        <v>51</v>
      </c>
      <c r="L7" s="2">
        <v>3</v>
      </c>
      <c r="M7" s="8">
        <f t="shared" si="3"/>
        <v>54</v>
      </c>
    </row>
    <row r="8" spans="1:19" x14ac:dyDescent="0.3">
      <c r="A8">
        <v>2</v>
      </c>
      <c r="B8" s="2">
        <f>'Saltire Fees 2019-20 ASN, P '!B16*1.02</f>
        <v>5.3134987499999999</v>
      </c>
      <c r="C8" s="2">
        <f t="shared" si="0"/>
        <v>10.6269975</v>
      </c>
      <c r="D8" s="17">
        <f>ROUND((C8*48/12),0)</f>
        <v>43</v>
      </c>
      <c r="E8" s="2">
        <v>3</v>
      </c>
      <c r="F8" s="8">
        <f t="shared" si="1"/>
        <v>46</v>
      </c>
      <c r="H8" s="2"/>
      <c r="K8" s="12"/>
    </row>
    <row r="9" spans="1:19" x14ac:dyDescent="0.3">
      <c r="A9">
        <v>2.5</v>
      </c>
      <c r="B9" s="2">
        <f>'Saltire Fees 2019-20 ASN, P '!B17*1.02</f>
        <v>4.723110000000001</v>
      </c>
      <c r="C9" s="2">
        <f t="shared" si="0"/>
        <v>11.807775000000003</v>
      </c>
      <c r="D9" s="17">
        <f>ROUND((C9*48/12),0)</f>
        <v>47</v>
      </c>
      <c r="E9" s="2">
        <v>3</v>
      </c>
      <c r="F9" s="8">
        <f t="shared" si="1"/>
        <v>50</v>
      </c>
      <c r="H9" s="2"/>
    </row>
    <row r="10" spans="1:19" x14ac:dyDescent="0.3">
      <c r="A10">
        <v>3</v>
      </c>
      <c r="B10" s="2">
        <f>'Saltire Fees 2019-20 ASN, P '!B18*1.02</f>
        <v>4.723110000000001</v>
      </c>
      <c r="C10" s="2">
        <f t="shared" si="0"/>
        <v>14.169330000000002</v>
      </c>
      <c r="D10" s="17">
        <f>ROUND((C10*48/12),0)</f>
        <v>57</v>
      </c>
      <c r="E10" s="2">
        <v>3</v>
      </c>
      <c r="F10" s="8">
        <f t="shared" si="1"/>
        <v>60</v>
      </c>
      <c r="H10" s="2"/>
    </row>
    <row r="11" spans="1:19" x14ac:dyDescent="0.3">
      <c r="B11" s="2"/>
      <c r="C11" s="2"/>
      <c r="D11" s="7"/>
      <c r="H11" s="2"/>
    </row>
    <row r="12" spans="1:19" x14ac:dyDescent="0.3">
      <c r="B12" s="2"/>
      <c r="C12" s="2"/>
      <c r="D12" s="7"/>
      <c r="H12" s="2"/>
    </row>
    <row r="13" spans="1:19" x14ac:dyDescent="0.3">
      <c r="A13" t="s">
        <v>26</v>
      </c>
    </row>
    <row r="14" spans="1:19" x14ac:dyDescent="0.3">
      <c r="A14" t="s">
        <v>14</v>
      </c>
    </row>
    <row r="16" spans="1:19" x14ac:dyDescent="0.3">
      <c r="H16" s="11"/>
    </row>
    <row r="17" spans="8:8" x14ac:dyDescent="0.3">
      <c r="H17" s="11"/>
    </row>
  </sheetData>
  <hyperlinks>
    <hyperlink ref="D6" r:id="rId1" display="=@round((C3*42/12),0)" xr:uid="{041529D7-C580-D54F-B539-32EAA6528DBC}"/>
    <hyperlink ref="D7:D10" r:id="rId2" display="=@round((C3*42/12),0)" xr:uid="{7B0D3969-C940-1641-BDA6-DBB9A42B7000}"/>
    <hyperlink ref="K6" r:id="rId3" display="=@round((C3*42/12),0)" xr:uid="{2ACD70F1-0213-0143-8AEB-69B6016B726F}"/>
    <hyperlink ref="K7" r:id="rId4" display="=@round((C3*42/12),0)" xr:uid="{5FA39E1D-09AA-074A-A969-B91E5A9CF181}"/>
  </hyperlinks>
  <pageMargins left="0.70866141732283472" right="0.70866141732283472" top="0.74803149606299213" bottom="0.74803149606299213" header="0.31496062992125984" footer="0.31496062992125984"/>
  <pageSetup paperSize="9" scale="79" orientation="portrait" horizontalDpi="4294967293" verticalDpi="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S36"/>
  <sheetViews>
    <sheetView topLeftCell="A13" zoomScale="85" zoomScaleNormal="85" workbookViewId="0">
      <selection activeCell="I4" sqref="I4"/>
    </sheetView>
  </sheetViews>
  <sheetFormatPr defaultColWidth="8.77734375" defaultRowHeight="14.4" x14ac:dyDescent="0.3"/>
  <cols>
    <col min="1" max="1" width="17.6640625" customWidth="1"/>
    <col min="2" max="2" width="10" bestFit="1" customWidth="1"/>
    <col min="3" max="3" width="13.109375" bestFit="1" customWidth="1"/>
    <col min="4" max="4" width="13.109375" customWidth="1"/>
    <col min="5" max="5" width="14.44140625" style="2" bestFit="1" customWidth="1"/>
    <col min="6" max="6" width="12.77734375" style="2" customWidth="1"/>
    <col min="7" max="7" width="14.44140625" style="2" customWidth="1"/>
    <col min="8" max="8" width="13.44140625" customWidth="1"/>
  </cols>
  <sheetData>
    <row r="1" spans="1:19" ht="21" x14ac:dyDescent="0.4">
      <c r="A1" s="1" t="s">
        <v>13</v>
      </c>
    </row>
    <row r="2" spans="1:19" ht="43.2" x14ac:dyDescent="0.3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4" t="s">
        <v>6</v>
      </c>
      <c r="H2" s="5" t="s">
        <v>7</v>
      </c>
      <c r="N2" s="6"/>
      <c r="O2" s="6"/>
    </row>
    <row r="3" spans="1:19" ht="15.6" x14ac:dyDescent="0.3">
      <c r="A3">
        <v>1</v>
      </c>
      <c r="B3" s="2">
        <f>'Saltire Fees 2018-19'!B3+('Saltire Fees 2018-19'!B3*0.05)</f>
        <v>5.788125</v>
      </c>
      <c r="C3" s="2">
        <f t="shared" ref="C3:C29" si="0">B3*A3</f>
        <v>5.788125</v>
      </c>
      <c r="D3" s="7">
        <f t="shared" ref="D3:D29" si="1">ROUND((C3*48/12),0)</f>
        <v>23</v>
      </c>
      <c r="E3" s="2">
        <v>2</v>
      </c>
      <c r="F3" s="8">
        <f t="shared" ref="F3:F29" si="2">D3+E3</f>
        <v>25</v>
      </c>
      <c r="G3" s="2">
        <v>4</v>
      </c>
      <c r="H3" s="8">
        <f t="shared" ref="H3:H29" si="3">D3+G3</f>
        <v>27</v>
      </c>
      <c r="I3" s="9"/>
      <c r="N3" s="6"/>
      <c r="O3" s="6"/>
    </row>
    <row r="4" spans="1:19" ht="15.6" x14ac:dyDescent="0.3">
      <c r="A4">
        <v>1.5</v>
      </c>
      <c r="B4" s="2">
        <f>'Saltire Fees 2018-19'!B4+('Saltire Fees 2018-19'!B4*0.05)</f>
        <v>5.788125</v>
      </c>
      <c r="C4" s="2">
        <f t="shared" si="0"/>
        <v>8.6821874999999995</v>
      </c>
      <c r="D4" s="7">
        <f t="shared" si="1"/>
        <v>35</v>
      </c>
      <c r="E4" s="2">
        <v>2</v>
      </c>
      <c r="F4" s="8">
        <f t="shared" si="2"/>
        <v>37</v>
      </c>
      <c r="G4" s="2">
        <v>4</v>
      </c>
      <c r="H4" s="8">
        <f t="shared" si="3"/>
        <v>39</v>
      </c>
      <c r="I4" s="10"/>
      <c r="N4" s="6"/>
    </row>
    <row r="5" spans="1:19" ht="15.6" x14ac:dyDescent="0.3">
      <c r="A5">
        <v>2</v>
      </c>
      <c r="B5" s="2">
        <f>'Saltire Fees 2018-19'!B5+('Saltire Fees 2018-19'!B5*0.05)</f>
        <v>5.2093124999999993</v>
      </c>
      <c r="C5" s="2">
        <f t="shared" si="0"/>
        <v>10.418624999999999</v>
      </c>
      <c r="D5" s="7">
        <f t="shared" si="1"/>
        <v>42</v>
      </c>
      <c r="E5" s="2">
        <v>2</v>
      </c>
      <c r="F5" s="8">
        <f t="shared" si="2"/>
        <v>44</v>
      </c>
      <c r="G5" s="2">
        <v>4</v>
      </c>
      <c r="H5" s="8">
        <f t="shared" si="3"/>
        <v>46</v>
      </c>
      <c r="N5" s="6"/>
      <c r="S5" s="9"/>
    </row>
    <row r="6" spans="1:19" ht="15.6" x14ac:dyDescent="0.3">
      <c r="A6">
        <v>2.5</v>
      </c>
      <c r="B6" s="2">
        <f>'Saltire Fees 2018-19'!B6+('Saltire Fees 2018-19'!B6*0.05)</f>
        <v>4.6305000000000005</v>
      </c>
      <c r="C6" s="2">
        <f t="shared" si="0"/>
        <v>11.576250000000002</v>
      </c>
      <c r="D6" s="7">
        <f t="shared" si="1"/>
        <v>46</v>
      </c>
      <c r="E6" s="2">
        <v>2</v>
      </c>
      <c r="F6" s="8">
        <f t="shared" si="2"/>
        <v>48</v>
      </c>
      <c r="G6" s="2">
        <v>4</v>
      </c>
      <c r="H6" s="8">
        <f t="shared" si="3"/>
        <v>50</v>
      </c>
      <c r="N6" s="6"/>
      <c r="S6" s="9"/>
    </row>
    <row r="7" spans="1:19" x14ac:dyDescent="0.3">
      <c r="A7">
        <v>3</v>
      </c>
      <c r="B7" s="2">
        <f>'Saltire Fees 2018-19'!B7+('Saltire Fees 2018-19'!B7*0.05)</f>
        <v>4.6305000000000005</v>
      </c>
      <c r="C7" s="2">
        <f t="shared" si="0"/>
        <v>13.891500000000001</v>
      </c>
      <c r="D7" s="7">
        <f t="shared" si="1"/>
        <v>56</v>
      </c>
      <c r="E7" s="2">
        <v>2</v>
      </c>
      <c r="F7" s="8">
        <f t="shared" si="2"/>
        <v>58</v>
      </c>
      <c r="G7" s="2">
        <v>4</v>
      </c>
      <c r="H7" s="8">
        <f t="shared" si="3"/>
        <v>60</v>
      </c>
    </row>
    <row r="8" spans="1:19" x14ac:dyDescent="0.3">
      <c r="A8">
        <v>3.5</v>
      </c>
      <c r="B8" s="2">
        <f>'Saltire Fees 2018-19'!B8+('Saltire Fees 2018-19'!B8*0.05)</f>
        <v>4.0516874999999999</v>
      </c>
      <c r="C8" s="2">
        <f t="shared" si="0"/>
        <v>14.18090625</v>
      </c>
      <c r="D8" s="7">
        <f t="shared" si="1"/>
        <v>57</v>
      </c>
      <c r="E8" s="2">
        <v>2</v>
      </c>
      <c r="F8" s="8">
        <f t="shared" si="2"/>
        <v>59</v>
      </c>
      <c r="G8" s="2">
        <v>4</v>
      </c>
      <c r="H8" s="8">
        <f t="shared" si="3"/>
        <v>61</v>
      </c>
    </row>
    <row r="9" spans="1:19" x14ac:dyDescent="0.3">
      <c r="A9">
        <v>4</v>
      </c>
      <c r="B9" s="2">
        <f>'Saltire Fees 2018-19'!B9+('Saltire Fees 2018-19'!B9*0.05)</f>
        <v>3.5886374999999999</v>
      </c>
      <c r="C9" s="2">
        <f t="shared" si="0"/>
        <v>14.35455</v>
      </c>
      <c r="D9" s="7">
        <f t="shared" si="1"/>
        <v>57</v>
      </c>
      <c r="E9" s="2">
        <v>2</v>
      </c>
      <c r="F9" s="8">
        <f t="shared" si="2"/>
        <v>59</v>
      </c>
      <c r="G9" s="2">
        <v>4</v>
      </c>
      <c r="H9" s="8">
        <f t="shared" si="3"/>
        <v>61</v>
      </c>
    </row>
    <row r="10" spans="1:19" x14ac:dyDescent="0.3">
      <c r="A10">
        <v>4.5</v>
      </c>
      <c r="B10" s="2">
        <f>'Saltire Fees 2018-19'!B10+('Saltire Fees 2018-19'!B10*0.05)</f>
        <v>3.3571124999999999</v>
      </c>
      <c r="C10" s="2">
        <f t="shared" si="0"/>
        <v>15.10700625</v>
      </c>
      <c r="D10" s="7">
        <f t="shared" si="1"/>
        <v>60</v>
      </c>
      <c r="E10" s="2">
        <v>2</v>
      </c>
      <c r="F10" s="8">
        <f t="shared" si="2"/>
        <v>62</v>
      </c>
      <c r="G10" s="2">
        <v>4</v>
      </c>
      <c r="H10" s="8">
        <f t="shared" si="3"/>
        <v>64</v>
      </c>
    </row>
    <row r="11" spans="1:19" x14ac:dyDescent="0.3">
      <c r="A11">
        <v>5</v>
      </c>
      <c r="B11" s="2">
        <f>'Saltire Fees 2018-19'!B11+('Saltire Fees 2018-19'!B11*0.05)</f>
        <v>3.1255875</v>
      </c>
      <c r="C11" s="2">
        <f t="shared" si="0"/>
        <v>15.6279375</v>
      </c>
      <c r="D11" s="7">
        <f t="shared" si="1"/>
        <v>63</v>
      </c>
      <c r="E11" s="2">
        <v>2</v>
      </c>
      <c r="F11" s="8">
        <f t="shared" si="2"/>
        <v>65</v>
      </c>
      <c r="G11" s="2">
        <v>4</v>
      </c>
      <c r="H11" s="8">
        <f t="shared" si="3"/>
        <v>67</v>
      </c>
    </row>
    <row r="12" spans="1:19" x14ac:dyDescent="0.3">
      <c r="A12">
        <v>5.5</v>
      </c>
      <c r="B12" s="2">
        <f>'Saltire Fees 2018-19'!B12+('Saltire Fees 2018-19'!B12*0.05)</f>
        <v>3.0098249999999998</v>
      </c>
      <c r="C12" s="2">
        <f t="shared" si="0"/>
        <v>16.5540375</v>
      </c>
      <c r="D12" s="7">
        <f t="shared" si="1"/>
        <v>66</v>
      </c>
      <c r="E12" s="2">
        <v>2</v>
      </c>
      <c r="F12" s="8">
        <f t="shared" si="2"/>
        <v>68</v>
      </c>
      <c r="G12" s="2">
        <v>4</v>
      </c>
      <c r="H12" s="8">
        <f t="shared" si="3"/>
        <v>70</v>
      </c>
    </row>
    <row r="13" spans="1:19" x14ac:dyDescent="0.3">
      <c r="A13">
        <v>6</v>
      </c>
      <c r="B13" s="2">
        <f>'Saltire Fees 2018-19'!B13+('Saltire Fees 2018-19'!B13*0.05)</f>
        <v>2.8940625</v>
      </c>
      <c r="C13" s="2">
        <f t="shared" si="0"/>
        <v>17.364374999999999</v>
      </c>
      <c r="D13" s="7">
        <f t="shared" si="1"/>
        <v>69</v>
      </c>
      <c r="E13" s="2">
        <v>2</v>
      </c>
      <c r="F13" s="8">
        <f t="shared" si="2"/>
        <v>71</v>
      </c>
      <c r="G13" s="2">
        <v>4</v>
      </c>
      <c r="H13" s="8">
        <f t="shared" si="3"/>
        <v>73</v>
      </c>
    </row>
    <row r="14" spans="1:19" x14ac:dyDescent="0.3">
      <c r="A14">
        <v>6.5</v>
      </c>
      <c r="B14" s="2">
        <f>'Saltire Fees 2018-19'!B14+('Saltire Fees 2018-19'!B14*0.05)</f>
        <v>2.6625375</v>
      </c>
      <c r="C14" s="2">
        <f t="shared" si="0"/>
        <v>17.306493750000001</v>
      </c>
      <c r="D14" s="7">
        <f t="shared" si="1"/>
        <v>69</v>
      </c>
      <c r="E14" s="2">
        <v>2</v>
      </c>
      <c r="F14" s="8">
        <f t="shared" si="2"/>
        <v>71</v>
      </c>
      <c r="G14" s="2">
        <v>4</v>
      </c>
      <c r="H14" s="8">
        <f t="shared" si="3"/>
        <v>73</v>
      </c>
    </row>
    <row r="15" spans="1:19" x14ac:dyDescent="0.3">
      <c r="A15">
        <v>7</v>
      </c>
      <c r="B15" s="2">
        <f>'Saltire Fees 2018-19'!B15+('Saltire Fees 2018-19'!B15*0.05)</f>
        <v>2.5467749999999998</v>
      </c>
      <c r="C15" s="2">
        <f t="shared" si="0"/>
        <v>17.827424999999998</v>
      </c>
      <c r="D15" s="7">
        <f t="shared" si="1"/>
        <v>71</v>
      </c>
      <c r="E15" s="2">
        <v>2</v>
      </c>
      <c r="F15" s="8">
        <f t="shared" si="2"/>
        <v>73</v>
      </c>
      <c r="G15" s="2">
        <v>4</v>
      </c>
      <c r="H15" s="8">
        <f t="shared" si="3"/>
        <v>75</v>
      </c>
    </row>
    <row r="16" spans="1:19" x14ac:dyDescent="0.3">
      <c r="A16">
        <v>7.5</v>
      </c>
      <c r="B16" s="2">
        <f>'Saltire Fees 2018-19'!B16+('Saltire Fees 2018-19'!B16*0.05)</f>
        <v>2.4310125000000005</v>
      </c>
      <c r="C16" s="2">
        <f t="shared" si="0"/>
        <v>18.232593750000003</v>
      </c>
      <c r="D16" s="7">
        <f t="shared" si="1"/>
        <v>73</v>
      </c>
      <c r="E16" s="2">
        <v>2</v>
      </c>
      <c r="F16" s="8">
        <f t="shared" si="2"/>
        <v>75</v>
      </c>
      <c r="G16" s="2">
        <v>4</v>
      </c>
      <c r="H16" s="8">
        <f t="shared" si="3"/>
        <v>77</v>
      </c>
    </row>
    <row r="17" spans="1:8" x14ac:dyDescent="0.3">
      <c r="A17">
        <v>8</v>
      </c>
      <c r="B17" s="2">
        <f>'Saltire Fees 2018-19'!B17+('Saltire Fees 2018-19'!B17*0.05)</f>
        <v>2.3152500000000003</v>
      </c>
      <c r="C17" s="2">
        <f t="shared" si="0"/>
        <v>18.522000000000002</v>
      </c>
      <c r="D17" s="7">
        <f t="shared" si="1"/>
        <v>74</v>
      </c>
      <c r="E17" s="2">
        <v>2</v>
      </c>
      <c r="F17" s="8">
        <f t="shared" si="2"/>
        <v>76</v>
      </c>
      <c r="G17" s="2">
        <v>4</v>
      </c>
      <c r="H17" s="8">
        <f t="shared" si="3"/>
        <v>78</v>
      </c>
    </row>
    <row r="18" spans="1:8" x14ac:dyDescent="0.3">
      <c r="A18">
        <v>8.5</v>
      </c>
      <c r="B18" s="2">
        <f>'Saltire Fees 2018-19'!B18+('Saltire Fees 2018-19'!B18*0.05)</f>
        <v>2.3152500000000003</v>
      </c>
      <c r="C18" s="2">
        <f t="shared" si="0"/>
        <v>19.679625000000001</v>
      </c>
      <c r="D18" s="7">
        <f t="shared" si="1"/>
        <v>79</v>
      </c>
      <c r="E18" s="2">
        <v>2</v>
      </c>
      <c r="F18" s="8">
        <f t="shared" si="2"/>
        <v>81</v>
      </c>
      <c r="G18" s="2">
        <v>4</v>
      </c>
      <c r="H18" s="8">
        <f t="shared" si="3"/>
        <v>83</v>
      </c>
    </row>
    <row r="19" spans="1:8" x14ac:dyDescent="0.3">
      <c r="A19">
        <v>9</v>
      </c>
      <c r="B19" s="2">
        <f>'Saltire Fees 2018-19'!B19+('Saltire Fees 2018-19'!B19*0.05)</f>
        <v>2.2573687499999999</v>
      </c>
      <c r="C19" s="2">
        <f t="shared" si="0"/>
        <v>20.316318750000001</v>
      </c>
      <c r="D19" s="7">
        <f t="shared" si="1"/>
        <v>81</v>
      </c>
      <c r="E19" s="2">
        <v>2</v>
      </c>
      <c r="F19" s="8">
        <f t="shared" si="2"/>
        <v>83</v>
      </c>
      <c r="G19" s="2">
        <v>4</v>
      </c>
      <c r="H19" s="8">
        <f t="shared" si="3"/>
        <v>85</v>
      </c>
    </row>
    <row r="20" spans="1:8" x14ac:dyDescent="0.3">
      <c r="A20">
        <v>9.5</v>
      </c>
      <c r="B20" s="2">
        <f>'Saltire Fees 2018-19'!B20+('Saltire Fees 2018-19'!B20*0.05)</f>
        <v>2.1416062500000002</v>
      </c>
      <c r="C20" s="2">
        <f t="shared" si="0"/>
        <v>20.345259375000001</v>
      </c>
      <c r="D20" s="7">
        <f t="shared" si="1"/>
        <v>81</v>
      </c>
      <c r="E20" s="2">
        <v>2</v>
      </c>
      <c r="F20" s="8">
        <f t="shared" si="2"/>
        <v>83</v>
      </c>
      <c r="G20" s="2">
        <v>4</v>
      </c>
      <c r="H20" s="8">
        <f t="shared" si="3"/>
        <v>85</v>
      </c>
    </row>
    <row r="21" spans="1:8" x14ac:dyDescent="0.3">
      <c r="A21">
        <v>10</v>
      </c>
      <c r="B21" s="2">
        <f>'Saltire Fees 2018-19'!B21+('Saltire Fees 2018-19'!B21*0.05)</f>
        <v>2.0363437499999999</v>
      </c>
      <c r="C21" s="2">
        <f t="shared" si="0"/>
        <v>20.3634375</v>
      </c>
      <c r="D21" s="7">
        <f t="shared" si="1"/>
        <v>81</v>
      </c>
      <c r="E21" s="2">
        <v>2</v>
      </c>
      <c r="F21" s="8">
        <f t="shared" si="2"/>
        <v>83</v>
      </c>
      <c r="G21" s="2">
        <v>4</v>
      </c>
      <c r="H21" s="8">
        <f t="shared" si="3"/>
        <v>85</v>
      </c>
    </row>
    <row r="22" spans="1:8" x14ac:dyDescent="0.3">
      <c r="A22">
        <v>10.5</v>
      </c>
      <c r="B22" s="2">
        <f>'Saltire Fees 2018-19'!B22+('Saltire Fees 2018-19'!B22*0.05)</f>
        <v>1.9679625000000001</v>
      </c>
      <c r="C22" s="2">
        <f t="shared" si="0"/>
        <v>20.663606250000001</v>
      </c>
      <c r="D22" s="7">
        <f t="shared" si="1"/>
        <v>83</v>
      </c>
      <c r="E22" s="2">
        <v>2</v>
      </c>
      <c r="F22" s="8">
        <f t="shared" si="2"/>
        <v>85</v>
      </c>
      <c r="G22" s="2">
        <v>4</v>
      </c>
      <c r="H22" s="8">
        <f t="shared" si="3"/>
        <v>87</v>
      </c>
    </row>
    <row r="23" spans="1:8" x14ac:dyDescent="0.3">
      <c r="A23">
        <v>11</v>
      </c>
      <c r="B23" s="2">
        <f>'Saltire Fees 2018-19'!B23+('Saltire Fees 2018-19'!B23*0.05)</f>
        <v>1.91008125</v>
      </c>
      <c r="C23" s="2">
        <f t="shared" si="0"/>
        <v>21.010893750000001</v>
      </c>
      <c r="D23" s="7">
        <f t="shared" si="1"/>
        <v>84</v>
      </c>
      <c r="E23" s="2">
        <v>2</v>
      </c>
      <c r="F23" s="8">
        <f t="shared" si="2"/>
        <v>86</v>
      </c>
      <c r="G23" s="2">
        <v>4</v>
      </c>
      <c r="H23" s="8">
        <f t="shared" si="3"/>
        <v>88</v>
      </c>
    </row>
    <row r="24" spans="1:8" x14ac:dyDescent="0.3">
      <c r="A24">
        <v>11.5</v>
      </c>
      <c r="B24" s="2">
        <f>'Saltire Fees 2018-19'!B24+('Saltire Fees 2018-19'!B24*0.05)</f>
        <v>1.8522000000000003</v>
      </c>
      <c r="C24" s="2">
        <f t="shared" si="0"/>
        <v>21.300300000000004</v>
      </c>
      <c r="D24" s="7">
        <f t="shared" si="1"/>
        <v>85</v>
      </c>
      <c r="E24" s="2">
        <v>2</v>
      </c>
      <c r="F24" s="8">
        <f t="shared" si="2"/>
        <v>87</v>
      </c>
      <c r="G24" s="2">
        <v>4</v>
      </c>
      <c r="H24" s="8">
        <f t="shared" si="3"/>
        <v>89</v>
      </c>
    </row>
    <row r="25" spans="1:8" x14ac:dyDescent="0.3">
      <c r="A25">
        <v>12</v>
      </c>
      <c r="B25" s="2">
        <f>'Saltire Fees 2018-19'!B25+('Saltire Fees 2018-19'!B25*0.05)</f>
        <v>1.79431875</v>
      </c>
      <c r="C25" s="2">
        <f t="shared" si="0"/>
        <v>21.531824999999998</v>
      </c>
      <c r="D25" s="7">
        <f t="shared" si="1"/>
        <v>86</v>
      </c>
      <c r="E25" s="2">
        <v>2</v>
      </c>
      <c r="F25" s="8">
        <f t="shared" si="2"/>
        <v>88</v>
      </c>
      <c r="G25" s="2">
        <v>4</v>
      </c>
      <c r="H25" s="8">
        <f t="shared" si="3"/>
        <v>90</v>
      </c>
    </row>
    <row r="26" spans="1:8" x14ac:dyDescent="0.3">
      <c r="A26">
        <v>12.5</v>
      </c>
      <c r="B26" s="2">
        <f>'Saltire Fees 2018-19'!B26+('Saltire Fees 2018-19'!B26*0.05)</f>
        <v>1.764</v>
      </c>
      <c r="C26" s="2">
        <f t="shared" si="0"/>
        <v>22.05</v>
      </c>
      <c r="D26" s="7">
        <f t="shared" si="1"/>
        <v>88</v>
      </c>
      <c r="E26" s="2">
        <v>2</v>
      </c>
      <c r="F26" s="8">
        <f t="shared" si="2"/>
        <v>90</v>
      </c>
      <c r="G26" s="2">
        <v>4</v>
      </c>
      <c r="H26" s="8">
        <f t="shared" si="3"/>
        <v>92</v>
      </c>
    </row>
    <row r="27" spans="1:8" x14ac:dyDescent="0.3">
      <c r="A27">
        <v>13</v>
      </c>
      <c r="B27" s="2">
        <f>'Saltire Fees 2018-19'!B27+('Saltire Fees 2018-19'!B27*0.05)</f>
        <v>1.7088749999999999</v>
      </c>
      <c r="C27" s="2">
        <f t="shared" si="0"/>
        <v>22.215374999999998</v>
      </c>
      <c r="D27" s="7">
        <f t="shared" si="1"/>
        <v>89</v>
      </c>
      <c r="E27" s="2">
        <v>2</v>
      </c>
      <c r="F27" s="8">
        <f t="shared" si="2"/>
        <v>91</v>
      </c>
      <c r="G27" s="2">
        <v>4</v>
      </c>
      <c r="H27" s="8">
        <f t="shared" si="3"/>
        <v>93</v>
      </c>
    </row>
    <row r="28" spans="1:8" x14ac:dyDescent="0.3">
      <c r="A28">
        <v>14</v>
      </c>
      <c r="B28" s="2">
        <f>'Saltire Fees 2018-19'!B28+('Saltire Fees 2018-19'!B28*0.05)</f>
        <v>1.598625</v>
      </c>
      <c r="C28" s="2">
        <f t="shared" si="0"/>
        <v>22.380749999999999</v>
      </c>
      <c r="D28" s="7">
        <f t="shared" si="1"/>
        <v>90</v>
      </c>
      <c r="E28" s="2">
        <v>2</v>
      </c>
      <c r="F28" s="8">
        <f t="shared" si="2"/>
        <v>92</v>
      </c>
      <c r="G28" s="2">
        <v>4</v>
      </c>
      <c r="H28" s="8">
        <f t="shared" si="3"/>
        <v>94</v>
      </c>
    </row>
    <row r="29" spans="1:8" x14ac:dyDescent="0.3">
      <c r="A29">
        <v>15</v>
      </c>
      <c r="B29" s="2">
        <f>'Saltire Fees 2018-19'!B29+('Saltire Fees 2018-19'!B29*0.05)</f>
        <v>1.5434999999999999</v>
      </c>
      <c r="C29" s="2">
        <f t="shared" si="0"/>
        <v>23.152499999999996</v>
      </c>
      <c r="D29" s="7">
        <f t="shared" si="1"/>
        <v>93</v>
      </c>
      <c r="E29" s="2">
        <v>2</v>
      </c>
      <c r="F29" s="8">
        <f t="shared" si="2"/>
        <v>95</v>
      </c>
      <c r="G29" s="2">
        <v>4</v>
      </c>
      <c r="H29" s="8">
        <f t="shared" si="3"/>
        <v>97</v>
      </c>
    </row>
    <row r="30" spans="1:8" x14ac:dyDescent="0.3">
      <c r="B30" s="2"/>
      <c r="C30" s="2"/>
      <c r="D30" s="7"/>
      <c r="F30" s="8"/>
      <c r="H30" s="8"/>
    </row>
    <row r="31" spans="1:8" x14ac:dyDescent="0.3">
      <c r="B31" s="2"/>
      <c r="C31" s="2"/>
      <c r="D31" s="7"/>
      <c r="F31" s="8"/>
      <c r="H31" s="8"/>
    </row>
    <row r="32" spans="1:8" x14ac:dyDescent="0.3">
      <c r="A32" t="s">
        <v>8</v>
      </c>
    </row>
    <row r="33" spans="1:8" x14ac:dyDescent="0.3">
      <c r="A33" t="s">
        <v>9</v>
      </c>
    </row>
    <row r="35" spans="1:8" x14ac:dyDescent="0.3">
      <c r="H35" s="11"/>
    </row>
    <row r="36" spans="1:8" x14ac:dyDescent="0.3">
      <c r="H36" s="11"/>
    </row>
  </sheetData>
  <hyperlinks>
    <hyperlink ref="D3" r:id="rId1" display="=@round((C3*42/12),0)" xr:uid="{00000000-0004-0000-0000-000000000000}"/>
    <hyperlink ref="D4:D21" r:id="rId2" display="=@round((C3*42/12),0)" xr:uid="{00000000-0004-0000-0000-000001000000}"/>
    <hyperlink ref="D22" r:id="rId3" display="=@round((C3*42/12),0)" xr:uid="{00000000-0004-0000-0000-000002000000}"/>
    <hyperlink ref="D23" r:id="rId4" display="=@round((C3*42/12),0)" xr:uid="{00000000-0004-0000-0000-000003000000}"/>
    <hyperlink ref="D24" r:id="rId5" display="=@round((C3*42/12),0)" xr:uid="{00000000-0004-0000-0000-000004000000}"/>
    <hyperlink ref="D25:D29" r:id="rId6" display="=@round((C3*42/12),0)" xr:uid="{2352169A-7685-48FB-B23C-BCF88720A55E}"/>
  </hyperlinks>
  <pageMargins left="0.70866141732283472" right="0.70866141732283472" top="0.74803149606299213" bottom="0.74803149606299213" header="0.31496062992125984" footer="0.31496062992125984"/>
  <pageSetup paperSize="9" scale="79" orientation="portrait" horizontalDpi="4294967293" verticalDpi="0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FB766-2AD1-415E-B116-CA6372C58DD1}">
  <sheetPr codeName="Sheet4">
    <pageSetUpPr fitToPage="1"/>
  </sheetPr>
  <dimension ref="A1:S31"/>
  <sheetViews>
    <sheetView zoomScale="85" zoomScaleNormal="85" workbookViewId="0">
      <selection activeCell="D6" sqref="D6"/>
    </sheetView>
  </sheetViews>
  <sheetFormatPr defaultColWidth="8.77734375" defaultRowHeight="14.4" x14ac:dyDescent="0.3"/>
  <cols>
    <col min="1" max="1" width="17.6640625" customWidth="1"/>
    <col min="2" max="2" width="10" bestFit="1" customWidth="1"/>
    <col min="3" max="3" width="13.109375" bestFit="1" customWidth="1"/>
    <col min="4" max="4" width="13.109375" customWidth="1"/>
    <col min="5" max="5" width="17.44140625" style="2" customWidth="1"/>
    <col min="6" max="6" width="12.77734375" style="2" customWidth="1"/>
    <col min="7" max="7" width="14.44140625" style="2" customWidth="1"/>
    <col min="8" max="8" width="20.44140625" customWidth="1"/>
    <col min="9" max="9" width="11.44140625" customWidth="1"/>
    <col min="10" max="10" width="12" customWidth="1"/>
    <col min="11" max="11" width="12.44140625" customWidth="1"/>
    <col min="12" max="12" width="18.109375" customWidth="1"/>
    <col min="13" max="13" width="13.77734375" customWidth="1"/>
    <col min="14" max="14" width="10.44140625" customWidth="1"/>
  </cols>
  <sheetData>
    <row r="1" spans="1:19" ht="21" x14ac:dyDescent="0.4">
      <c r="A1" s="1" t="s">
        <v>23</v>
      </c>
    </row>
    <row r="2" spans="1:19" ht="21" x14ac:dyDescent="0.4">
      <c r="A2" s="1"/>
    </row>
    <row r="3" spans="1:19" ht="21" x14ac:dyDescent="0.4">
      <c r="A3" s="1" t="s">
        <v>17</v>
      </c>
      <c r="H3" s="1" t="s">
        <v>19</v>
      </c>
    </row>
    <row r="4" spans="1:19" ht="53.25" customHeight="1" x14ac:dyDescent="0.3">
      <c r="A4" s="3" t="s">
        <v>0</v>
      </c>
      <c r="B4" s="16" t="s">
        <v>1</v>
      </c>
      <c r="C4" s="16" t="s">
        <v>2</v>
      </c>
      <c r="D4" s="16" t="s">
        <v>3</v>
      </c>
      <c r="E4" s="4" t="s">
        <v>15</v>
      </c>
      <c r="F4" s="5" t="s">
        <v>16</v>
      </c>
      <c r="G4" s="4"/>
      <c r="H4" s="3" t="s">
        <v>0</v>
      </c>
      <c r="I4" s="16" t="s">
        <v>1</v>
      </c>
      <c r="J4" s="16" t="s">
        <v>2</v>
      </c>
      <c r="K4" s="16" t="s">
        <v>3</v>
      </c>
      <c r="L4" s="4" t="s">
        <v>15</v>
      </c>
      <c r="M4" s="5" t="s">
        <v>16</v>
      </c>
      <c r="N4" s="20" t="s">
        <v>20</v>
      </c>
      <c r="O4" s="6"/>
    </row>
    <row r="5" spans="1:19" x14ac:dyDescent="0.3">
      <c r="A5" s="3"/>
      <c r="B5" s="3"/>
      <c r="C5" s="3"/>
      <c r="D5" s="3"/>
      <c r="E5" s="4"/>
      <c r="F5" s="5"/>
      <c r="G5" s="4"/>
      <c r="H5" s="4"/>
      <c r="N5" s="6"/>
      <c r="O5" s="6"/>
    </row>
    <row r="6" spans="1:19" x14ac:dyDescent="0.3">
      <c r="A6" s="15">
        <v>0.75</v>
      </c>
      <c r="B6" s="13">
        <f>'Saltire Fees 2018-19 ASN, P '!B6*1.05</f>
        <v>6.6150000000000011</v>
      </c>
      <c r="C6" s="2">
        <f t="shared" ref="C6" si="0">B6*A6</f>
        <v>4.9612500000000006</v>
      </c>
      <c r="D6" s="7">
        <f>MROUND((C6*42/12),0.5)</f>
        <v>17.5</v>
      </c>
      <c r="E6" s="2">
        <v>1</v>
      </c>
      <c r="F6" s="8">
        <f t="shared" ref="F6" si="1">D6+E6</f>
        <v>18.5</v>
      </c>
      <c r="G6" s="14"/>
      <c r="H6" s="18">
        <v>1</v>
      </c>
      <c r="I6" s="2">
        <f>5.25*1.05</f>
        <v>5.5125000000000002</v>
      </c>
      <c r="J6" s="2">
        <f>I6*H6</f>
        <v>5.5125000000000002</v>
      </c>
      <c r="K6" s="17">
        <f>ROUND((J6*48/12),0)</f>
        <v>22</v>
      </c>
      <c r="L6">
        <v>2</v>
      </c>
      <c r="M6" s="2">
        <f>L6+K6</f>
        <v>24</v>
      </c>
      <c r="N6" s="19">
        <v>7</v>
      </c>
      <c r="O6" s="6"/>
    </row>
    <row r="7" spans="1:19" x14ac:dyDescent="0.3">
      <c r="B7" s="2"/>
      <c r="C7" s="2"/>
      <c r="D7" s="7"/>
      <c r="F7" s="8"/>
      <c r="H7" s="11">
        <v>1.5</v>
      </c>
      <c r="I7" s="2">
        <f>5.25*1.05</f>
        <v>5.5125000000000002</v>
      </c>
      <c r="J7" s="2">
        <f t="shared" ref="J7" si="2">I7*H7</f>
        <v>8.2687500000000007</v>
      </c>
      <c r="K7" s="17">
        <f t="shared" ref="K7" si="3">ROUND((J7*48/12),0)</f>
        <v>33</v>
      </c>
      <c r="L7">
        <v>2</v>
      </c>
      <c r="M7" s="2">
        <f>L7+K7</f>
        <v>35</v>
      </c>
      <c r="N7" s="19">
        <v>9</v>
      </c>
      <c r="O7" s="6"/>
    </row>
    <row r="8" spans="1:19" x14ac:dyDescent="0.3">
      <c r="B8" s="2"/>
      <c r="C8" s="2"/>
      <c r="D8" s="7"/>
      <c r="H8" s="11"/>
      <c r="I8" s="2"/>
      <c r="J8" s="2"/>
      <c r="K8" s="17"/>
      <c r="M8" s="2"/>
      <c r="N8" s="19"/>
    </row>
    <row r="9" spans="1:19" ht="15.6" x14ac:dyDescent="0.3">
      <c r="B9" s="2"/>
      <c r="C9" s="2"/>
      <c r="D9" s="7"/>
      <c r="H9" s="11"/>
      <c r="I9" s="2"/>
      <c r="J9" s="2"/>
      <c r="K9" s="17"/>
      <c r="M9" s="2"/>
      <c r="N9" s="19"/>
      <c r="S9" s="9"/>
    </row>
    <row r="10" spans="1:19" ht="15.6" x14ac:dyDescent="0.3">
      <c r="A10" t="s">
        <v>21</v>
      </c>
      <c r="B10" s="2"/>
      <c r="C10" s="2"/>
      <c r="D10" s="7"/>
      <c r="H10" t="s">
        <v>8</v>
      </c>
      <c r="I10" s="2"/>
      <c r="J10" s="2"/>
      <c r="K10" s="17"/>
      <c r="M10" s="2"/>
      <c r="N10" s="19"/>
      <c r="S10" s="9"/>
    </row>
    <row r="11" spans="1:19" ht="15.6" x14ac:dyDescent="0.3">
      <c r="B11" s="2"/>
      <c r="C11" s="2"/>
      <c r="D11" s="7"/>
      <c r="I11" s="2"/>
      <c r="J11" s="2"/>
      <c r="K11" s="17"/>
      <c r="M11" s="2"/>
      <c r="N11" s="19"/>
      <c r="S11" s="9"/>
    </row>
    <row r="12" spans="1:19" ht="21" x14ac:dyDescent="0.4">
      <c r="A12" s="1" t="s">
        <v>18</v>
      </c>
      <c r="B12" s="2"/>
      <c r="C12" s="2"/>
      <c r="D12" s="17"/>
      <c r="H12" s="27" t="s">
        <v>22</v>
      </c>
    </row>
    <row r="13" spans="1:19" x14ac:dyDescent="0.3">
      <c r="B13" s="2"/>
      <c r="C13" s="2"/>
      <c r="D13" s="17"/>
      <c r="H13" s="2"/>
    </row>
    <row r="14" spans="1:19" x14ac:dyDescent="0.3">
      <c r="A14">
        <v>1</v>
      </c>
      <c r="B14" s="2">
        <f>'Saltire Fees 2018-19 ASN, P '!B14*1.05</f>
        <v>5.7881250000000009</v>
      </c>
      <c r="C14" s="2">
        <f t="shared" ref="C14:C18" si="4">B14*A14</f>
        <v>5.7881250000000009</v>
      </c>
      <c r="D14" s="17">
        <f>ROUND((C14*42/12),0)</f>
        <v>20</v>
      </c>
      <c r="E14" s="2">
        <v>2</v>
      </c>
      <c r="F14" s="8">
        <f t="shared" ref="F14:F18" si="5">D14+E14</f>
        <v>22</v>
      </c>
      <c r="H14">
        <v>1</v>
      </c>
      <c r="I14" s="2">
        <f>'Saltire Fees 2018-19 ASN, P '!I14*1.05</f>
        <v>8.4</v>
      </c>
      <c r="J14" s="2">
        <f t="shared" ref="J14:J15" si="6">I14*H14</f>
        <v>8.4</v>
      </c>
      <c r="K14" s="17">
        <f>ROUND((J14*42/12),0)</f>
        <v>29</v>
      </c>
      <c r="L14" s="2">
        <v>2</v>
      </c>
      <c r="M14" s="8">
        <f t="shared" ref="M14:M15" si="7">K14+L14</f>
        <v>31</v>
      </c>
    </row>
    <row r="15" spans="1:19" x14ac:dyDescent="0.3">
      <c r="A15">
        <v>1.5</v>
      </c>
      <c r="B15" s="2">
        <f>'Saltire Fees 2018-19 ASN, P '!B15*1.05</f>
        <v>5.7881250000000009</v>
      </c>
      <c r="C15" s="2">
        <f t="shared" si="4"/>
        <v>8.6821875000000013</v>
      </c>
      <c r="D15" s="17">
        <f t="shared" ref="D15:D18" si="8">ROUND((C15*42/12),0)</f>
        <v>30</v>
      </c>
      <c r="E15" s="2">
        <v>2</v>
      </c>
      <c r="F15" s="8">
        <f t="shared" si="5"/>
        <v>32</v>
      </c>
      <c r="H15">
        <v>1.5</v>
      </c>
      <c r="I15" s="2">
        <f>'Saltire Fees 2018-19 ASN, P '!I15*1.05</f>
        <v>8.4</v>
      </c>
      <c r="J15" s="2">
        <f t="shared" si="6"/>
        <v>12.600000000000001</v>
      </c>
      <c r="K15" s="17">
        <f t="shared" ref="K15" si="9">ROUND((J15*42/12),0)</f>
        <v>44</v>
      </c>
      <c r="L15" s="2">
        <v>2</v>
      </c>
      <c r="M15" s="8">
        <f t="shared" si="7"/>
        <v>46</v>
      </c>
    </row>
    <row r="16" spans="1:19" x14ac:dyDescent="0.3">
      <c r="A16">
        <v>2</v>
      </c>
      <c r="B16" s="2">
        <f>'Saltire Fees 2018-19 ASN, P '!B16*1.05</f>
        <v>5.2093125000000002</v>
      </c>
      <c r="C16" s="2">
        <f t="shared" si="4"/>
        <v>10.418625</v>
      </c>
      <c r="D16" s="17">
        <f t="shared" si="8"/>
        <v>36</v>
      </c>
      <c r="E16" s="2">
        <v>2</v>
      </c>
      <c r="F16" s="8">
        <f t="shared" si="5"/>
        <v>38</v>
      </c>
      <c r="H16" s="2"/>
      <c r="K16" s="12"/>
    </row>
    <row r="17" spans="1:8" x14ac:dyDescent="0.3">
      <c r="A17">
        <v>2.5</v>
      </c>
      <c r="B17" s="2">
        <f>'Saltire Fees 2018-19 ASN, P '!B17*1.05</f>
        <v>4.6305000000000005</v>
      </c>
      <c r="C17" s="2">
        <f t="shared" si="4"/>
        <v>11.576250000000002</v>
      </c>
      <c r="D17" s="17">
        <f t="shared" si="8"/>
        <v>41</v>
      </c>
      <c r="E17" s="2">
        <v>2</v>
      </c>
      <c r="F17" s="8">
        <f t="shared" si="5"/>
        <v>43</v>
      </c>
      <c r="H17" s="2"/>
    </row>
    <row r="18" spans="1:8" x14ac:dyDescent="0.3">
      <c r="A18">
        <v>3</v>
      </c>
      <c r="B18" s="2">
        <f>'Saltire Fees 2018-19 ASN, P '!B18*1.05</f>
        <v>4.6305000000000005</v>
      </c>
      <c r="C18" s="2">
        <f t="shared" si="4"/>
        <v>13.891500000000001</v>
      </c>
      <c r="D18" s="17">
        <f t="shared" si="8"/>
        <v>49</v>
      </c>
      <c r="E18" s="2">
        <v>2</v>
      </c>
      <c r="F18" s="8">
        <f t="shared" si="5"/>
        <v>51</v>
      </c>
      <c r="H18" s="2"/>
    </row>
    <row r="19" spans="1:8" x14ac:dyDescent="0.3">
      <c r="B19" s="2"/>
      <c r="C19" s="2"/>
      <c r="D19" s="7"/>
      <c r="H19" s="2"/>
    </row>
    <row r="20" spans="1:8" x14ac:dyDescent="0.3">
      <c r="B20" s="2"/>
      <c r="C20" s="2"/>
      <c r="D20" s="7"/>
      <c r="H20" s="2"/>
    </row>
    <row r="21" spans="1:8" x14ac:dyDescent="0.3">
      <c r="B21" s="2"/>
      <c r="C21" s="2"/>
      <c r="D21" s="7"/>
      <c r="H21" s="2"/>
    </row>
    <row r="22" spans="1:8" x14ac:dyDescent="0.3">
      <c r="B22" s="2"/>
      <c r="C22" s="2"/>
      <c r="D22" s="7"/>
      <c r="H22" s="2"/>
    </row>
    <row r="23" spans="1:8" x14ac:dyDescent="0.3">
      <c r="B23" s="2"/>
      <c r="C23" s="2"/>
      <c r="D23" s="7"/>
      <c r="H23" s="2"/>
    </row>
    <row r="24" spans="1:8" x14ac:dyDescent="0.3">
      <c r="B24" s="2"/>
      <c r="C24" s="2"/>
      <c r="D24" s="7"/>
      <c r="H24" s="2"/>
    </row>
    <row r="25" spans="1:8" x14ac:dyDescent="0.3">
      <c r="B25" s="2"/>
      <c r="C25" s="2"/>
      <c r="D25" s="7"/>
      <c r="H25" s="2"/>
    </row>
    <row r="26" spans="1:8" x14ac:dyDescent="0.3">
      <c r="B26" s="2"/>
      <c r="C26" s="2"/>
      <c r="D26" s="7"/>
      <c r="H26" s="2"/>
    </row>
    <row r="27" spans="1:8" x14ac:dyDescent="0.3">
      <c r="A27" t="s">
        <v>21</v>
      </c>
    </row>
    <row r="28" spans="1:8" x14ac:dyDescent="0.3">
      <c r="A28" t="s">
        <v>14</v>
      </c>
    </row>
    <row r="30" spans="1:8" x14ac:dyDescent="0.3">
      <c r="H30" s="11"/>
    </row>
    <row r="31" spans="1:8" x14ac:dyDescent="0.3">
      <c r="H31" s="11"/>
    </row>
  </sheetData>
  <hyperlinks>
    <hyperlink ref="D6" r:id="rId1" display="=@round((C3*42/12),0)" xr:uid="{520E213E-30E0-4B4F-BDFF-01E1CC80E8E9}"/>
    <hyperlink ref="D14" r:id="rId2" display="=@round((C3*42/12),0)" xr:uid="{32D0B4C7-FFA2-4AEC-9ADF-2C4908F6F212}"/>
    <hyperlink ref="D15:D18" r:id="rId3" display="=@round((C3*42/12),0)" xr:uid="{CF45A90D-64E1-41C1-A0E0-3B29783A06AD}"/>
    <hyperlink ref="K6" r:id="rId4" display="=@round((C3*42/12),0)" xr:uid="{63BF325A-1771-4E6F-B013-28C6CE890009}"/>
    <hyperlink ref="K14" r:id="rId5" display="=@round((C3*42/12),0)" xr:uid="{B0B15DD0-4FAC-4DE5-910E-B88077FAE7BA}"/>
    <hyperlink ref="K15" r:id="rId6" display="=@round((C3*42/12),0)" xr:uid="{E3CF5FE7-1DDF-489E-94FE-B6B2832ED1D0}"/>
    <hyperlink ref="K7:K9" r:id="rId7" display="=@round((C3*42/12),0)" xr:uid="{5D2B274B-D410-4451-9F0E-C2F9535F8BA3}"/>
  </hyperlinks>
  <pageMargins left="0.70866141732283472" right="0.70866141732283472" top="0.74803149606299213" bottom="0.74803149606299213" header="0.31496062992125984" footer="0.31496062992125984"/>
  <pageSetup paperSize="9" scale="79" orientation="portrait" horizontalDpi="4294967293" verticalDpi="0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S140"/>
  <sheetViews>
    <sheetView zoomScaleNormal="100" workbookViewId="0">
      <selection activeCell="A24" sqref="A24:B29"/>
    </sheetView>
  </sheetViews>
  <sheetFormatPr defaultColWidth="8.77734375" defaultRowHeight="14.4" x14ac:dyDescent="0.3"/>
  <cols>
    <col min="1" max="1" width="17.6640625" customWidth="1"/>
    <col min="2" max="2" width="10" bestFit="1" customWidth="1"/>
    <col min="3" max="3" width="13.109375" bestFit="1" customWidth="1"/>
    <col min="4" max="4" width="13.109375" customWidth="1"/>
    <col min="5" max="5" width="14.44140625" style="2" bestFit="1" customWidth="1"/>
    <col min="6" max="6" width="12.77734375" style="2" customWidth="1"/>
    <col min="7" max="7" width="14.44140625" style="2" customWidth="1"/>
    <col min="8" max="8" width="13.44140625" customWidth="1"/>
  </cols>
  <sheetData>
    <row r="1" spans="1:19" ht="21" x14ac:dyDescent="0.4">
      <c r="A1" s="1" t="s">
        <v>12</v>
      </c>
    </row>
    <row r="2" spans="1:19" ht="43.2" x14ac:dyDescent="0.3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4" t="s">
        <v>6</v>
      </c>
      <c r="H2" s="5" t="s">
        <v>7</v>
      </c>
      <c r="N2" s="6"/>
      <c r="O2" s="6"/>
    </row>
    <row r="3" spans="1:19" ht="15.6" x14ac:dyDescent="0.3">
      <c r="A3">
        <v>1</v>
      </c>
      <c r="B3" s="2">
        <f>'Saltire Fees 2017-18'!B3+('Saltire Fees 2017-18'!B3*0.05)</f>
        <v>5.5125000000000002</v>
      </c>
      <c r="C3" s="2">
        <f t="shared" ref="C3:C24" si="0">B3*A3</f>
        <v>5.5125000000000002</v>
      </c>
      <c r="D3" s="7">
        <f t="shared" ref="D3:D24" si="1">ROUND((C3*48/12),0)</f>
        <v>22</v>
      </c>
      <c r="E3" s="2">
        <v>2</v>
      </c>
      <c r="F3" s="8">
        <f t="shared" ref="F3:F24" si="2">D3+E3</f>
        <v>24</v>
      </c>
      <c r="G3" s="2">
        <v>4</v>
      </c>
      <c r="H3" s="8">
        <f t="shared" ref="H3:H24" si="3">D3+G3</f>
        <v>26</v>
      </c>
      <c r="I3" s="9"/>
      <c r="N3" s="6"/>
      <c r="O3" s="6"/>
    </row>
    <row r="4" spans="1:19" ht="15.6" x14ac:dyDescent="0.3">
      <c r="A4">
        <v>1.5</v>
      </c>
      <c r="B4" s="2">
        <f>'Saltire Fees 2017-18'!B4+('Saltire Fees 2017-18'!B4*0.05)</f>
        <v>5.5125000000000002</v>
      </c>
      <c r="C4" s="2">
        <f t="shared" si="0"/>
        <v>8.2687500000000007</v>
      </c>
      <c r="D4" s="7">
        <f t="shared" si="1"/>
        <v>33</v>
      </c>
      <c r="E4" s="2">
        <v>2</v>
      </c>
      <c r="F4" s="8">
        <f t="shared" si="2"/>
        <v>35</v>
      </c>
      <c r="G4" s="2">
        <v>4</v>
      </c>
      <c r="H4" s="8">
        <f t="shared" si="3"/>
        <v>37</v>
      </c>
      <c r="I4" s="10"/>
      <c r="N4" s="6"/>
    </row>
    <row r="5" spans="1:19" ht="15.6" x14ac:dyDescent="0.3">
      <c r="A5">
        <v>2</v>
      </c>
      <c r="B5" s="2">
        <f>'Saltire Fees 2017-18'!B5+('Saltire Fees 2017-18'!B5*0.05)</f>
        <v>4.9612499999999997</v>
      </c>
      <c r="C5" s="2">
        <f t="shared" si="0"/>
        <v>9.9224999999999994</v>
      </c>
      <c r="D5" s="7">
        <f t="shared" si="1"/>
        <v>40</v>
      </c>
      <c r="E5" s="2">
        <v>2</v>
      </c>
      <c r="F5" s="8">
        <f t="shared" si="2"/>
        <v>42</v>
      </c>
      <c r="G5" s="2">
        <v>4</v>
      </c>
      <c r="H5" s="8">
        <f t="shared" si="3"/>
        <v>44</v>
      </c>
      <c r="N5" s="6"/>
      <c r="S5" s="9"/>
    </row>
    <row r="6" spans="1:19" ht="15.6" x14ac:dyDescent="0.3">
      <c r="A6">
        <v>2.5</v>
      </c>
      <c r="B6" s="2">
        <f>'Saltire Fees 2017-18'!B6+('Saltire Fees 2017-18'!B6*0.05)</f>
        <v>4.41</v>
      </c>
      <c r="C6" s="2">
        <f t="shared" si="0"/>
        <v>11.025</v>
      </c>
      <c r="D6" s="7">
        <f t="shared" si="1"/>
        <v>44</v>
      </c>
      <c r="E6" s="2">
        <v>2</v>
      </c>
      <c r="F6" s="8">
        <f t="shared" si="2"/>
        <v>46</v>
      </c>
      <c r="G6" s="2">
        <v>4</v>
      </c>
      <c r="H6" s="8">
        <f t="shared" si="3"/>
        <v>48</v>
      </c>
      <c r="N6" s="6"/>
      <c r="S6" s="9"/>
    </row>
    <row r="7" spans="1:19" x14ac:dyDescent="0.3">
      <c r="A7">
        <v>3</v>
      </c>
      <c r="B7" s="2">
        <f>'Saltire Fees 2017-18'!B7+('Saltire Fees 2017-18'!B7*0.05)</f>
        <v>4.41</v>
      </c>
      <c r="C7" s="2">
        <f t="shared" si="0"/>
        <v>13.23</v>
      </c>
      <c r="D7" s="7">
        <f t="shared" si="1"/>
        <v>53</v>
      </c>
      <c r="E7" s="2">
        <v>2</v>
      </c>
      <c r="F7" s="8">
        <f t="shared" si="2"/>
        <v>55</v>
      </c>
      <c r="G7" s="2">
        <v>4</v>
      </c>
      <c r="H7" s="8">
        <f t="shared" si="3"/>
        <v>57</v>
      </c>
    </row>
    <row r="8" spans="1:19" x14ac:dyDescent="0.3">
      <c r="A8">
        <v>3.5</v>
      </c>
      <c r="B8" s="2">
        <f>'Saltire Fees 2017-18'!B8+('Saltire Fees 2017-18'!B8*0.05)</f>
        <v>3.8587499999999997</v>
      </c>
      <c r="C8" s="2">
        <f t="shared" si="0"/>
        <v>13.505624999999998</v>
      </c>
      <c r="D8" s="7">
        <f t="shared" si="1"/>
        <v>54</v>
      </c>
      <c r="E8" s="2">
        <v>2</v>
      </c>
      <c r="F8" s="8">
        <f t="shared" si="2"/>
        <v>56</v>
      </c>
      <c r="G8" s="2">
        <v>4</v>
      </c>
      <c r="H8" s="8">
        <f t="shared" si="3"/>
        <v>58</v>
      </c>
    </row>
    <row r="9" spans="1:19" x14ac:dyDescent="0.3">
      <c r="A9">
        <v>4</v>
      </c>
      <c r="B9" s="2">
        <f>'Saltire Fees 2017-18'!B9+('Saltire Fees 2017-18'!B9*0.05)</f>
        <v>3.4177499999999998</v>
      </c>
      <c r="C9" s="2">
        <f t="shared" si="0"/>
        <v>13.670999999999999</v>
      </c>
      <c r="D9" s="7">
        <f t="shared" si="1"/>
        <v>55</v>
      </c>
      <c r="E9" s="2">
        <v>2</v>
      </c>
      <c r="F9" s="8">
        <f t="shared" si="2"/>
        <v>57</v>
      </c>
      <c r="G9" s="2">
        <v>4</v>
      </c>
      <c r="H9" s="8">
        <f t="shared" si="3"/>
        <v>59</v>
      </c>
    </row>
    <row r="10" spans="1:19" x14ac:dyDescent="0.3">
      <c r="A10">
        <v>4.5</v>
      </c>
      <c r="B10" s="2">
        <f>'Saltire Fees 2017-18'!B10+('Saltire Fees 2017-18'!B10*0.05)</f>
        <v>3.1972499999999999</v>
      </c>
      <c r="C10" s="2">
        <f t="shared" si="0"/>
        <v>14.387625</v>
      </c>
      <c r="D10" s="7">
        <f t="shared" si="1"/>
        <v>58</v>
      </c>
      <c r="E10" s="2">
        <v>2</v>
      </c>
      <c r="F10" s="8">
        <f t="shared" si="2"/>
        <v>60</v>
      </c>
      <c r="G10" s="2">
        <v>4</v>
      </c>
      <c r="H10" s="8">
        <f t="shared" si="3"/>
        <v>62</v>
      </c>
      <c r="L10" s="22"/>
    </row>
    <row r="11" spans="1:19" x14ac:dyDescent="0.3">
      <c r="A11">
        <v>5</v>
      </c>
      <c r="B11" s="2">
        <f>'Saltire Fees 2017-18'!B11+('Saltire Fees 2017-18'!B11*0.05)</f>
        <v>2.97675</v>
      </c>
      <c r="C11" s="2">
        <f t="shared" si="0"/>
        <v>14.883749999999999</v>
      </c>
      <c r="D11" s="7">
        <f t="shared" si="1"/>
        <v>60</v>
      </c>
      <c r="E11" s="2">
        <v>2</v>
      </c>
      <c r="F11" s="8">
        <f t="shared" si="2"/>
        <v>62</v>
      </c>
      <c r="G11" s="2">
        <v>4</v>
      </c>
      <c r="H11" s="8">
        <f t="shared" si="3"/>
        <v>64</v>
      </c>
      <c r="L11" s="22"/>
    </row>
    <row r="12" spans="1:19" x14ac:dyDescent="0.3">
      <c r="A12">
        <v>5.5</v>
      </c>
      <c r="B12" s="2">
        <f>'Saltire Fees 2017-18'!B12+('Saltire Fees 2017-18'!B12*0.05)</f>
        <v>2.8664999999999998</v>
      </c>
      <c r="C12" s="2">
        <f t="shared" si="0"/>
        <v>15.765749999999999</v>
      </c>
      <c r="D12" s="7">
        <f t="shared" si="1"/>
        <v>63</v>
      </c>
      <c r="E12" s="2">
        <v>2</v>
      </c>
      <c r="F12" s="8">
        <f t="shared" si="2"/>
        <v>65</v>
      </c>
      <c r="G12" s="2">
        <v>4</v>
      </c>
      <c r="H12" s="8">
        <f t="shared" si="3"/>
        <v>67</v>
      </c>
      <c r="L12" s="22"/>
    </row>
    <row r="13" spans="1:19" x14ac:dyDescent="0.3">
      <c r="A13">
        <v>6</v>
      </c>
      <c r="B13" s="2">
        <f>'Saltire Fees 2017-18'!B13+('Saltire Fees 2017-18'!B13*0.05)</f>
        <v>2.7562500000000001</v>
      </c>
      <c r="C13" s="2">
        <f t="shared" si="0"/>
        <v>16.537500000000001</v>
      </c>
      <c r="D13" s="7">
        <f t="shared" si="1"/>
        <v>66</v>
      </c>
      <c r="E13" s="2">
        <v>2</v>
      </c>
      <c r="F13" s="8">
        <f t="shared" si="2"/>
        <v>68</v>
      </c>
      <c r="G13" s="2">
        <v>4</v>
      </c>
      <c r="H13" s="8">
        <f t="shared" si="3"/>
        <v>70</v>
      </c>
      <c r="L13" s="22"/>
    </row>
    <row r="14" spans="1:19" x14ac:dyDescent="0.3">
      <c r="A14">
        <v>6.5</v>
      </c>
      <c r="B14" s="2">
        <f>'Saltire Fees 2017-18'!B14+('Saltire Fees 2017-18'!B14*0.05)</f>
        <v>2.5357500000000002</v>
      </c>
      <c r="C14" s="2">
        <f t="shared" si="0"/>
        <v>16.482375000000001</v>
      </c>
      <c r="D14" s="7">
        <f t="shared" si="1"/>
        <v>66</v>
      </c>
      <c r="E14" s="2">
        <v>2</v>
      </c>
      <c r="F14" s="8">
        <f t="shared" si="2"/>
        <v>68</v>
      </c>
      <c r="G14" s="2">
        <v>4</v>
      </c>
      <c r="H14" s="8">
        <f t="shared" si="3"/>
        <v>70</v>
      </c>
      <c r="L14" s="22"/>
    </row>
    <row r="15" spans="1:19" x14ac:dyDescent="0.3">
      <c r="A15">
        <v>7</v>
      </c>
      <c r="B15" s="2">
        <f>'Saltire Fees 2017-18'!B15+('Saltire Fees 2017-18'!B15*0.05)</f>
        <v>2.4255</v>
      </c>
      <c r="C15" s="2">
        <f t="shared" si="0"/>
        <v>16.9785</v>
      </c>
      <c r="D15" s="7">
        <f t="shared" si="1"/>
        <v>68</v>
      </c>
      <c r="E15" s="2">
        <v>2</v>
      </c>
      <c r="F15" s="8">
        <f t="shared" si="2"/>
        <v>70</v>
      </c>
      <c r="G15" s="2">
        <v>4</v>
      </c>
      <c r="H15" s="8">
        <f t="shared" si="3"/>
        <v>72</v>
      </c>
      <c r="L15" s="22"/>
    </row>
    <row r="16" spans="1:19" x14ac:dyDescent="0.3">
      <c r="A16">
        <v>7.5</v>
      </c>
      <c r="B16" s="2">
        <f>'Saltire Fees 2017-18'!B16+('Saltire Fees 2017-18'!B16*0.05)</f>
        <v>2.3152500000000003</v>
      </c>
      <c r="C16" s="2">
        <f t="shared" si="0"/>
        <v>17.364375000000003</v>
      </c>
      <c r="D16" s="7">
        <f t="shared" si="1"/>
        <v>69</v>
      </c>
      <c r="E16" s="2">
        <v>2</v>
      </c>
      <c r="F16" s="8">
        <f t="shared" si="2"/>
        <v>71</v>
      </c>
      <c r="G16" s="2">
        <v>4</v>
      </c>
      <c r="H16" s="8">
        <f t="shared" si="3"/>
        <v>73</v>
      </c>
      <c r="L16" s="22"/>
    </row>
    <row r="17" spans="1:13" x14ac:dyDescent="0.3">
      <c r="A17">
        <v>8</v>
      </c>
      <c r="B17" s="2">
        <f>'Saltire Fees 2017-18'!B17+('Saltire Fees 2017-18'!B17*0.05)</f>
        <v>2.2050000000000001</v>
      </c>
      <c r="C17" s="2">
        <f t="shared" si="0"/>
        <v>17.64</v>
      </c>
      <c r="D17" s="7">
        <f t="shared" si="1"/>
        <v>71</v>
      </c>
      <c r="E17" s="2">
        <v>2</v>
      </c>
      <c r="F17" s="8">
        <f t="shared" si="2"/>
        <v>73</v>
      </c>
      <c r="G17" s="2">
        <v>4</v>
      </c>
      <c r="H17" s="8">
        <f t="shared" si="3"/>
        <v>75</v>
      </c>
      <c r="L17" s="22"/>
    </row>
    <row r="18" spans="1:13" x14ac:dyDescent="0.3">
      <c r="A18">
        <v>8.5</v>
      </c>
      <c r="B18" s="2">
        <f>'Saltire Fees 2017-18'!B18+('Saltire Fees 2017-18'!B18*0.05)</f>
        <v>2.2050000000000001</v>
      </c>
      <c r="C18" s="2">
        <f t="shared" si="0"/>
        <v>18.7425</v>
      </c>
      <c r="D18" s="7">
        <f t="shared" si="1"/>
        <v>75</v>
      </c>
      <c r="E18" s="2">
        <v>2</v>
      </c>
      <c r="F18" s="8">
        <f t="shared" si="2"/>
        <v>77</v>
      </c>
      <c r="G18" s="2">
        <v>4</v>
      </c>
      <c r="H18" s="8">
        <f t="shared" si="3"/>
        <v>79</v>
      </c>
      <c r="L18" s="22"/>
      <c r="M18" s="24"/>
    </row>
    <row r="19" spans="1:13" x14ac:dyDescent="0.3">
      <c r="A19">
        <v>9</v>
      </c>
      <c r="B19" s="2">
        <f>'Saltire Fees 2017-18'!B19+('Saltire Fees 2017-18'!B19*0.05)</f>
        <v>2.1498749999999998</v>
      </c>
      <c r="C19" s="2">
        <f t="shared" si="0"/>
        <v>19.348875</v>
      </c>
      <c r="D19" s="7">
        <f t="shared" si="1"/>
        <v>77</v>
      </c>
      <c r="E19" s="2">
        <v>2</v>
      </c>
      <c r="F19" s="8">
        <f t="shared" si="2"/>
        <v>79</v>
      </c>
      <c r="G19" s="2">
        <v>4</v>
      </c>
      <c r="H19" s="8">
        <f t="shared" si="3"/>
        <v>81</v>
      </c>
      <c r="L19" s="22"/>
    </row>
    <row r="20" spans="1:13" x14ac:dyDescent="0.3">
      <c r="A20">
        <v>9.5</v>
      </c>
      <c r="B20" s="2">
        <f>'Saltire Fees 2017-18'!B20+('Saltire Fees 2017-18'!B20*0.05)</f>
        <v>2.039625</v>
      </c>
      <c r="C20" s="2">
        <f t="shared" si="0"/>
        <v>19.376437500000002</v>
      </c>
      <c r="D20" s="7">
        <f t="shared" si="1"/>
        <v>78</v>
      </c>
      <c r="E20" s="2">
        <v>2</v>
      </c>
      <c r="F20" s="8">
        <f t="shared" si="2"/>
        <v>80</v>
      </c>
      <c r="G20" s="2">
        <v>4</v>
      </c>
      <c r="H20" s="8">
        <f t="shared" si="3"/>
        <v>82</v>
      </c>
      <c r="L20" s="22"/>
      <c r="M20" s="24"/>
    </row>
    <row r="21" spans="1:13" x14ac:dyDescent="0.3">
      <c r="A21">
        <v>10</v>
      </c>
      <c r="B21" s="2">
        <f>'Saltire Fees 2017-18'!B21+('Saltire Fees 2017-18'!B21*0.05)+0.01</f>
        <v>1.9393749999999998</v>
      </c>
      <c r="C21" s="2">
        <f t="shared" si="0"/>
        <v>19.393749999999997</v>
      </c>
      <c r="D21" s="7">
        <f t="shared" si="1"/>
        <v>78</v>
      </c>
      <c r="E21" s="2">
        <v>2</v>
      </c>
      <c r="F21" s="8">
        <f t="shared" si="2"/>
        <v>80</v>
      </c>
      <c r="G21" s="2">
        <v>4</v>
      </c>
      <c r="H21" s="8">
        <f t="shared" si="3"/>
        <v>82</v>
      </c>
      <c r="L21" s="22"/>
    </row>
    <row r="22" spans="1:13" x14ac:dyDescent="0.3">
      <c r="A22">
        <v>10.5</v>
      </c>
      <c r="B22" s="2">
        <f>'Saltire Fees 2017-18'!B22+('Saltire Fees 2017-18'!B22*0.05)</f>
        <v>1.87425</v>
      </c>
      <c r="C22" s="2">
        <f t="shared" si="0"/>
        <v>19.679625000000001</v>
      </c>
      <c r="D22" s="7">
        <f t="shared" si="1"/>
        <v>79</v>
      </c>
      <c r="E22" s="2">
        <v>2</v>
      </c>
      <c r="F22" s="8">
        <f t="shared" si="2"/>
        <v>81</v>
      </c>
      <c r="G22" s="2">
        <v>4</v>
      </c>
      <c r="H22" s="8">
        <f t="shared" si="3"/>
        <v>83</v>
      </c>
      <c r="L22" s="22"/>
      <c r="M22" s="24"/>
    </row>
    <row r="23" spans="1:13" x14ac:dyDescent="0.3">
      <c r="A23">
        <v>11</v>
      </c>
      <c r="B23" s="2">
        <f>'Saltire Fees 2017-18'!B23+('Saltire Fees 2017-18'!B23*0.05)</f>
        <v>1.8191249999999999</v>
      </c>
      <c r="C23" s="2">
        <f t="shared" si="0"/>
        <v>20.010375</v>
      </c>
      <c r="D23" s="7">
        <f t="shared" si="1"/>
        <v>80</v>
      </c>
      <c r="E23" s="2">
        <v>2</v>
      </c>
      <c r="F23" s="8">
        <f t="shared" si="2"/>
        <v>82</v>
      </c>
      <c r="G23" s="2">
        <v>4</v>
      </c>
      <c r="H23" s="8">
        <f t="shared" si="3"/>
        <v>84</v>
      </c>
      <c r="L23" s="22"/>
    </row>
    <row r="24" spans="1:13" x14ac:dyDescent="0.3">
      <c r="A24">
        <v>11.5</v>
      </c>
      <c r="B24" s="2">
        <f>'Saltire Fees 2017-18'!B24+('Saltire Fees 2017-18'!B24*0.05)</f>
        <v>1.7640000000000002</v>
      </c>
      <c r="C24" s="2">
        <f t="shared" si="0"/>
        <v>20.286000000000001</v>
      </c>
      <c r="D24" s="7">
        <f t="shared" si="1"/>
        <v>81</v>
      </c>
      <c r="E24" s="2">
        <v>2</v>
      </c>
      <c r="F24" s="8">
        <f t="shared" si="2"/>
        <v>83</v>
      </c>
      <c r="G24" s="2">
        <v>4</v>
      </c>
      <c r="H24" s="8">
        <f t="shared" si="3"/>
        <v>85</v>
      </c>
      <c r="L24" s="22"/>
      <c r="M24" s="24"/>
    </row>
    <row r="25" spans="1:13" x14ac:dyDescent="0.3">
      <c r="A25">
        <v>12</v>
      </c>
      <c r="B25" s="2">
        <f>'Saltire Fees 2017-18'!B25+('Saltire Fees 2017-18'!B25*0.05)</f>
        <v>1.7088749999999999</v>
      </c>
      <c r="C25" s="2">
        <f t="shared" ref="C25:C27" si="4">B25*A25</f>
        <v>20.506499999999999</v>
      </c>
      <c r="D25" s="7">
        <f t="shared" ref="D25:D27" si="5">ROUND((C25*48/12),0)</f>
        <v>82</v>
      </c>
      <c r="E25" s="2">
        <v>2</v>
      </c>
      <c r="F25" s="8">
        <f t="shared" ref="F25:F27" si="6">D25+E25</f>
        <v>84</v>
      </c>
      <c r="G25" s="2">
        <v>4</v>
      </c>
      <c r="H25" s="8">
        <f t="shared" ref="H25:H27" si="7">D25+G25</f>
        <v>86</v>
      </c>
      <c r="L25" s="22"/>
    </row>
    <row r="26" spans="1:13" x14ac:dyDescent="0.3">
      <c r="A26">
        <v>12.5</v>
      </c>
      <c r="B26" s="2">
        <v>1.68</v>
      </c>
      <c r="C26" s="2">
        <f t="shared" si="4"/>
        <v>21</v>
      </c>
      <c r="D26" s="7">
        <f t="shared" si="5"/>
        <v>84</v>
      </c>
      <c r="E26" s="2">
        <v>2</v>
      </c>
      <c r="F26" s="8">
        <f t="shared" si="6"/>
        <v>86</v>
      </c>
      <c r="G26" s="2">
        <v>4</v>
      </c>
      <c r="H26" s="8">
        <f t="shared" si="7"/>
        <v>88</v>
      </c>
      <c r="L26" s="22"/>
    </row>
    <row r="27" spans="1:13" x14ac:dyDescent="0.3">
      <c r="A27">
        <v>13</v>
      </c>
      <c r="B27" s="2">
        <f>'Saltire Fees 2017-18'!B26+('Saltire Fees 2017-18'!B26*0.05)</f>
        <v>1.6274999999999999</v>
      </c>
      <c r="C27" s="2">
        <f t="shared" si="4"/>
        <v>21.157499999999999</v>
      </c>
      <c r="D27" s="7">
        <f t="shared" si="5"/>
        <v>85</v>
      </c>
      <c r="E27" s="2">
        <v>2</v>
      </c>
      <c r="F27" s="8">
        <f t="shared" si="6"/>
        <v>87</v>
      </c>
      <c r="G27" s="2">
        <v>4</v>
      </c>
      <c r="H27" s="8">
        <f t="shared" si="7"/>
        <v>89</v>
      </c>
      <c r="L27" s="22"/>
      <c r="M27" s="24"/>
    </row>
    <row r="28" spans="1:13" x14ac:dyDescent="0.3">
      <c r="A28">
        <v>14</v>
      </c>
      <c r="B28" s="2">
        <f>'Saltire Fees 2017-18'!B27+('Saltire Fees 2017-18'!B27*0.05)</f>
        <v>1.5225</v>
      </c>
      <c r="C28" s="2">
        <f t="shared" ref="C28:C29" si="8">B28*A28</f>
        <v>21.314999999999998</v>
      </c>
      <c r="D28" s="7">
        <f t="shared" ref="D28:D29" si="9">ROUND((C28*48/12),0)</f>
        <v>85</v>
      </c>
      <c r="E28" s="2">
        <v>2</v>
      </c>
      <c r="F28" s="8">
        <f t="shared" ref="F28:F29" si="10">D28+E28</f>
        <v>87</v>
      </c>
      <c r="G28" s="2">
        <v>4</v>
      </c>
      <c r="H28" s="8">
        <f t="shared" ref="H28:H29" si="11">D28+G28</f>
        <v>89</v>
      </c>
      <c r="L28" s="22"/>
      <c r="M28" s="24"/>
    </row>
    <row r="29" spans="1:13" x14ac:dyDescent="0.3">
      <c r="A29">
        <v>15</v>
      </c>
      <c r="B29" s="2">
        <f>'Saltire Fees 2017-18'!B28+('Saltire Fees 2017-18'!B28*0.05)</f>
        <v>1.47</v>
      </c>
      <c r="C29" s="2">
        <f t="shared" si="8"/>
        <v>22.05</v>
      </c>
      <c r="D29" s="7">
        <f t="shared" si="9"/>
        <v>88</v>
      </c>
      <c r="E29" s="2">
        <v>2</v>
      </c>
      <c r="F29" s="8">
        <f t="shared" si="10"/>
        <v>90</v>
      </c>
      <c r="G29" s="2">
        <v>4</v>
      </c>
      <c r="H29" s="8">
        <f t="shared" si="11"/>
        <v>92</v>
      </c>
      <c r="L29" s="22"/>
      <c r="M29" s="24"/>
    </row>
    <row r="30" spans="1:13" ht="14.25" customHeight="1" x14ac:dyDescent="0.3">
      <c r="A30" t="s">
        <v>8</v>
      </c>
      <c r="L30" s="22"/>
    </row>
    <row r="31" spans="1:13" x14ac:dyDescent="0.3">
      <c r="A31" t="s">
        <v>9</v>
      </c>
      <c r="L31" s="22"/>
      <c r="M31" s="24"/>
    </row>
    <row r="32" spans="1:13" x14ac:dyDescent="0.3">
      <c r="L32" s="22"/>
    </row>
    <row r="33" spans="8:13" x14ac:dyDescent="0.3">
      <c r="H33" s="11"/>
      <c r="L33" s="21"/>
      <c r="M33" s="24"/>
    </row>
    <row r="34" spans="8:13" x14ac:dyDescent="0.3">
      <c r="H34" s="11"/>
    </row>
    <row r="35" spans="8:13" x14ac:dyDescent="0.3">
      <c r="L35" s="21"/>
      <c r="M35" s="24"/>
    </row>
    <row r="37" spans="8:13" x14ac:dyDescent="0.3">
      <c r="M37" s="24"/>
    </row>
    <row r="39" spans="8:13" x14ac:dyDescent="0.3">
      <c r="M39" s="24"/>
    </row>
    <row r="41" spans="8:13" x14ac:dyDescent="0.3">
      <c r="M41" s="24"/>
    </row>
    <row r="43" spans="8:13" x14ac:dyDescent="0.3">
      <c r="M43" s="24"/>
    </row>
    <row r="45" spans="8:13" x14ac:dyDescent="0.3">
      <c r="M45" s="24"/>
    </row>
    <row r="47" spans="8:13" x14ac:dyDescent="0.3">
      <c r="M47" s="24"/>
    </row>
    <row r="49" spans="12:13" x14ac:dyDescent="0.3">
      <c r="M49" s="24"/>
    </row>
    <row r="51" spans="12:13" x14ac:dyDescent="0.3">
      <c r="M51" s="24"/>
    </row>
    <row r="53" spans="12:13" x14ac:dyDescent="0.3">
      <c r="M53" s="24"/>
    </row>
    <row r="55" spans="12:13" x14ac:dyDescent="0.3">
      <c r="M55" s="24"/>
    </row>
    <row r="57" spans="12:13" x14ac:dyDescent="0.3">
      <c r="M57" s="24"/>
    </row>
    <row r="58" spans="12:13" x14ac:dyDescent="0.3">
      <c r="L58" s="24"/>
    </row>
    <row r="59" spans="12:13" x14ac:dyDescent="0.3">
      <c r="M59" s="24"/>
    </row>
    <row r="60" spans="12:13" x14ac:dyDescent="0.3">
      <c r="L60" s="24"/>
      <c r="M60" s="24"/>
    </row>
    <row r="61" spans="12:13" x14ac:dyDescent="0.3">
      <c r="M61" s="23"/>
    </row>
    <row r="62" spans="12:13" x14ac:dyDescent="0.3">
      <c r="L62" s="24"/>
    </row>
    <row r="64" spans="12:13" x14ac:dyDescent="0.3">
      <c r="L64" s="24"/>
    </row>
    <row r="66" spans="12:12" x14ac:dyDescent="0.3">
      <c r="L66" s="24"/>
    </row>
    <row r="68" spans="12:12" x14ac:dyDescent="0.3">
      <c r="L68" s="24"/>
    </row>
    <row r="70" spans="12:12" x14ac:dyDescent="0.3">
      <c r="L70" s="24"/>
    </row>
    <row r="72" spans="12:12" x14ac:dyDescent="0.3">
      <c r="L72" s="24"/>
    </row>
    <row r="74" spans="12:12" x14ac:dyDescent="0.3">
      <c r="L74" s="24"/>
    </row>
    <row r="76" spans="12:12" x14ac:dyDescent="0.3">
      <c r="L76" s="24"/>
    </row>
    <row r="78" spans="12:12" x14ac:dyDescent="0.3">
      <c r="L78" s="24"/>
    </row>
    <row r="80" spans="12:12" x14ac:dyDescent="0.3">
      <c r="L80" s="24"/>
    </row>
    <row r="82" spans="11:12" x14ac:dyDescent="0.3">
      <c r="L82" s="24"/>
    </row>
    <row r="84" spans="11:12" x14ac:dyDescent="0.3">
      <c r="L84" s="24"/>
    </row>
    <row r="86" spans="11:12" x14ac:dyDescent="0.3">
      <c r="L86" s="24"/>
    </row>
    <row r="88" spans="11:12" x14ac:dyDescent="0.3">
      <c r="L88" s="24"/>
    </row>
    <row r="90" spans="11:12" x14ac:dyDescent="0.3">
      <c r="K90" s="24"/>
      <c r="L90" s="24"/>
    </row>
    <row r="92" spans="11:12" x14ac:dyDescent="0.3">
      <c r="K92" s="24"/>
      <c r="L92" s="24"/>
    </row>
    <row r="94" spans="11:12" x14ac:dyDescent="0.3">
      <c r="K94" s="24"/>
      <c r="L94" s="24"/>
    </row>
    <row r="96" spans="11:12" x14ac:dyDescent="0.3">
      <c r="K96" s="24"/>
      <c r="L96" s="24"/>
    </row>
    <row r="97" spans="11:12" x14ac:dyDescent="0.3">
      <c r="L97" s="24"/>
    </row>
    <row r="98" spans="11:12" x14ac:dyDescent="0.3">
      <c r="K98" s="24"/>
      <c r="L98" s="23"/>
    </row>
    <row r="100" spans="11:12" x14ac:dyDescent="0.3">
      <c r="K100" s="24"/>
    </row>
    <row r="102" spans="11:12" x14ac:dyDescent="0.3">
      <c r="K102" s="24"/>
    </row>
    <row r="104" spans="11:12" x14ac:dyDescent="0.3">
      <c r="K104" s="24"/>
    </row>
    <row r="106" spans="11:12" x14ac:dyDescent="0.3">
      <c r="K106" s="24"/>
    </row>
    <row r="108" spans="11:12" x14ac:dyDescent="0.3">
      <c r="K108" s="24"/>
    </row>
    <row r="110" spans="11:12" ht="15.6" x14ac:dyDescent="0.3">
      <c r="K110" s="24"/>
      <c r="L110" s="25"/>
    </row>
    <row r="111" spans="11:12" ht="15.6" x14ac:dyDescent="0.3">
      <c r="L111" s="26"/>
    </row>
    <row r="112" spans="11:12" ht="15.6" x14ac:dyDescent="0.3">
      <c r="K112" s="24"/>
      <c r="L112" s="25"/>
    </row>
    <row r="113" spans="11:12" ht="15.6" x14ac:dyDescent="0.3">
      <c r="L113" s="26"/>
    </row>
    <row r="114" spans="11:12" ht="15.6" x14ac:dyDescent="0.3">
      <c r="K114" s="24"/>
      <c r="L114" s="25"/>
    </row>
    <row r="115" spans="11:12" ht="15.6" x14ac:dyDescent="0.3">
      <c r="L115" s="25"/>
    </row>
    <row r="116" spans="11:12" ht="15.6" x14ac:dyDescent="0.3">
      <c r="K116" s="24"/>
      <c r="L116" s="26"/>
    </row>
    <row r="117" spans="11:12" ht="15.6" x14ac:dyDescent="0.3">
      <c r="L117" s="25"/>
    </row>
    <row r="118" spans="11:12" ht="15.6" x14ac:dyDescent="0.3">
      <c r="K118" s="24"/>
      <c r="L118" s="26"/>
    </row>
    <row r="119" spans="11:12" ht="15.6" x14ac:dyDescent="0.3">
      <c r="L119" s="25"/>
    </row>
    <row r="120" spans="11:12" ht="15.6" x14ac:dyDescent="0.3">
      <c r="K120" s="24"/>
      <c r="L120" s="25"/>
    </row>
    <row r="121" spans="11:12" ht="15.6" x14ac:dyDescent="0.3">
      <c r="L121" s="26"/>
    </row>
    <row r="122" spans="11:12" ht="15.6" x14ac:dyDescent="0.3">
      <c r="K122" s="24"/>
      <c r="L122" s="25"/>
    </row>
    <row r="123" spans="11:12" ht="15.6" x14ac:dyDescent="0.3">
      <c r="L123" s="25"/>
    </row>
    <row r="124" spans="11:12" ht="15.6" x14ac:dyDescent="0.3">
      <c r="K124" s="24"/>
      <c r="L124" s="25"/>
    </row>
    <row r="125" spans="11:12" ht="15.6" x14ac:dyDescent="0.3">
      <c r="L125" s="26"/>
    </row>
    <row r="126" spans="11:12" ht="15.6" x14ac:dyDescent="0.3">
      <c r="K126" s="24"/>
      <c r="L126" s="25"/>
    </row>
    <row r="127" spans="11:12" ht="15.6" x14ac:dyDescent="0.3">
      <c r="L127" s="26"/>
    </row>
    <row r="128" spans="11:12" ht="15.6" x14ac:dyDescent="0.3">
      <c r="K128" s="24"/>
      <c r="L128" s="26"/>
    </row>
    <row r="129" spans="11:12" ht="15.6" x14ac:dyDescent="0.3">
      <c r="K129" s="24"/>
      <c r="L129" s="25"/>
    </row>
    <row r="130" spans="11:12" ht="15.6" x14ac:dyDescent="0.3">
      <c r="L130" s="25"/>
    </row>
    <row r="131" spans="11:12" ht="15.6" x14ac:dyDescent="0.3">
      <c r="L131" s="26"/>
    </row>
    <row r="132" spans="11:12" ht="15.6" x14ac:dyDescent="0.3">
      <c r="L132" s="25"/>
    </row>
    <row r="133" spans="11:12" ht="15.6" x14ac:dyDescent="0.3">
      <c r="L133" s="25"/>
    </row>
    <row r="134" spans="11:12" ht="15.6" x14ac:dyDescent="0.3">
      <c r="L134" s="26"/>
    </row>
    <row r="135" spans="11:12" ht="15.6" x14ac:dyDescent="0.3">
      <c r="L135" s="25"/>
    </row>
    <row r="136" spans="11:12" ht="15.6" x14ac:dyDescent="0.3">
      <c r="L136" s="25"/>
    </row>
    <row r="137" spans="11:12" ht="15.6" x14ac:dyDescent="0.3">
      <c r="L137" s="25"/>
    </row>
    <row r="138" spans="11:12" ht="15.6" x14ac:dyDescent="0.3">
      <c r="L138" s="26"/>
    </row>
    <row r="139" spans="11:12" ht="15.6" x14ac:dyDescent="0.3">
      <c r="L139" s="25"/>
    </row>
    <row r="140" spans="11:12" x14ac:dyDescent="0.3">
      <c r="L140" s="21"/>
    </row>
  </sheetData>
  <hyperlinks>
    <hyperlink ref="D3" r:id="rId1" display="=@round((C3*42/12),0)" xr:uid="{00000000-0004-0000-0100-000000000000}"/>
    <hyperlink ref="D4:D21" r:id="rId2" display="=@round((C3*42/12),0)" xr:uid="{00000000-0004-0000-0100-000001000000}"/>
    <hyperlink ref="D22" r:id="rId3" display="=@round((C3*42/12),0)" xr:uid="{00000000-0004-0000-0100-000002000000}"/>
    <hyperlink ref="D23" r:id="rId4" display="=@round((C3*42/12),0)" xr:uid="{00000000-0004-0000-0100-000003000000}"/>
    <hyperlink ref="D24" r:id="rId5" display="=@round((C3*42/12),0)" xr:uid="{00000000-0004-0000-0100-000004000000}"/>
    <hyperlink ref="D25" r:id="rId6" display="=@round((C3*42/12),0)" xr:uid="{00000000-0004-0000-0100-000005000000}"/>
    <hyperlink ref="D27" r:id="rId7" display="=@round((C3*42/12),0)" xr:uid="{00000000-0004-0000-0100-000006000000}"/>
    <hyperlink ref="D28" r:id="rId8" display="=@round((C3*42/12),0)" xr:uid="{00000000-0004-0000-0100-000007000000}"/>
    <hyperlink ref="D29" r:id="rId9" display="=@round((C3*42/12),0)" xr:uid="{00000000-0004-0000-0100-000008000000}"/>
    <hyperlink ref="D26" r:id="rId10" display="=@round((C3*42/12),0)" xr:uid="{00000000-0004-0000-0100-000009000000}"/>
  </hyperlinks>
  <pageMargins left="0.70866141732283472" right="0.70866141732283472" top="0.74803149606299213" bottom="0.74803149606299213" header="0.31496062992125984" footer="0.31496062992125984"/>
  <pageSetup paperSize="9" scale="79" orientation="portrait" horizontalDpi="4294967293" verticalDpi="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Saltire Fees 2025-26</vt:lpstr>
      <vt:lpstr>Saltire Fees 2024-25</vt:lpstr>
      <vt:lpstr>Saltire Fees 2023-24</vt:lpstr>
      <vt:lpstr>Saltire Fees 2022-23</vt:lpstr>
      <vt:lpstr>Saltire Fees 2020-21 ASN, P </vt:lpstr>
      <vt:lpstr>SaltireFees 2020-21 ASN 48 week</vt:lpstr>
      <vt:lpstr>Saltire Fees 2019-20</vt:lpstr>
      <vt:lpstr>Saltire Fees 2019-20 ASN, P </vt:lpstr>
      <vt:lpstr>Saltire Fees 2018-19</vt:lpstr>
      <vt:lpstr>Saltire Fees 2018-19 ASN, P </vt:lpstr>
      <vt:lpstr>Saltire Fees 2017-18 ASN, PS, A</vt:lpstr>
      <vt:lpstr>Saltire Fees 2017-18</vt:lpstr>
      <vt:lpstr>Saltire Fees 2016-17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louise.lewis@blueyonder.co.uk</dc:creator>
  <cp:lastModifiedBy>Mhairi Dickie</cp:lastModifiedBy>
  <cp:lastPrinted>2025-03-20T13:21:31Z</cp:lastPrinted>
  <dcterms:created xsi:type="dcterms:W3CDTF">2016-01-26T20:24:09Z</dcterms:created>
  <dcterms:modified xsi:type="dcterms:W3CDTF">2025-03-20T13:22:40Z</dcterms:modified>
</cp:coreProperties>
</file>